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1570" windowHeight="7455"/>
  </bookViews>
  <sheets>
    <sheet name="DASHBOARD" sheetId="4" r:id="rId1"/>
    <sheet name="INICIO" sheetId="1" r:id="rId2"/>
    <sheet name="METAS" sheetId="2" r:id="rId3"/>
    <sheet name="REALIZADO" sheetId="3" r:id="rId4"/>
    <sheet name="AUDITORIA" sheetId="5" r:id="rId5"/>
  </sheets>
  <calcPr calcId="152511"/>
  <fileRecoveryPr repairLoad="1"/>
</workbook>
</file>

<file path=xl/calcChain.xml><?xml version="1.0" encoding="utf-8"?>
<calcChain xmlns="http://schemas.openxmlformats.org/spreadsheetml/2006/main">
  <c r="D17" i="5" l="1"/>
  <c r="C17" i="5"/>
  <c r="B17" i="5"/>
  <c r="E16" i="5"/>
  <c r="D16" i="5"/>
  <c r="C16" i="5"/>
  <c r="B16" i="5"/>
  <c r="F16" i="5" s="1"/>
  <c r="G16" i="5" s="1"/>
  <c r="A16" i="5"/>
  <c r="D15" i="5"/>
  <c r="C15" i="5"/>
  <c r="B15" i="5"/>
  <c r="E14" i="5"/>
  <c r="D14" i="5"/>
  <c r="C14" i="5"/>
  <c r="B14" i="5"/>
  <c r="F14" i="5" s="1"/>
  <c r="G14" i="5" s="1"/>
  <c r="E13" i="5"/>
  <c r="F13" i="5" s="1"/>
  <c r="G13" i="5" s="1"/>
  <c r="D13" i="5"/>
  <c r="C13" i="5"/>
  <c r="B13" i="5"/>
  <c r="D12" i="5"/>
  <c r="C12" i="5"/>
  <c r="B12" i="5"/>
  <c r="A12" i="5"/>
  <c r="E11" i="5"/>
  <c r="D11" i="5"/>
  <c r="C11" i="5"/>
  <c r="F11" i="5" s="1"/>
  <c r="G11" i="5" s="1"/>
  <c r="B11" i="5"/>
  <c r="D10" i="5"/>
  <c r="C10" i="5"/>
  <c r="B10" i="5"/>
  <c r="F10" i="5" s="1"/>
  <c r="G10" i="5" s="1"/>
  <c r="D9" i="5"/>
  <c r="C9" i="5"/>
  <c r="B9" i="5"/>
  <c r="A9" i="5"/>
  <c r="D8" i="5"/>
  <c r="C8" i="5"/>
  <c r="B8" i="5"/>
  <c r="D7" i="5"/>
  <c r="C7" i="5"/>
  <c r="F7" i="5" s="1"/>
  <c r="G7" i="5" s="1"/>
  <c r="B7" i="5"/>
  <c r="A7" i="5"/>
  <c r="D6" i="5"/>
  <c r="C6" i="5"/>
  <c r="B6" i="5"/>
  <c r="K22" i="4"/>
  <c r="J22" i="4"/>
  <c r="L22" i="4" s="1"/>
  <c r="K21" i="4"/>
  <c r="J21" i="4"/>
  <c r="L21" i="4" s="1"/>
  <c r="L20" i="4"/>
  <c r="K20" i="4"/>
  <c r="J20" i="4"/>
  <c r="K19" i="4"/>
  <c r="L19" i="4" s="1"/>
  <c r="J19" i="4"/>
  <c r="K18" i="4"/>
  <c r="L18" i="4" s="1"/>
  <c r="J18" i="4"/>
  <c r="M17" i="3"/>
  <c r="E17" i="5" s="1"/>
  <c r="J17" i="3"/>
  <c r="F17" i="3"/>
  <c r="D17" i="3"/>
  <c r="M16" i="3"/>
  <c r="J16" i="3"/>
  <c r="F16" i="3"/>
  <c r="D16" i="3"/>
  <c r="A16" i="3"/>
  <c r="M15" i="3"/>
  <c r="E15" i="5" s="1"/>
  <c r="F15" i="5" s="1"/>
  <c r="G15" i="5" s="1"/>
  <c r="J15" i="3"/>
  <c r="F15" i="3"/>
  <c r="D15" i="3"/>
  <c r="M14" i="3"/>
  <c r="J14" i="3"/>
  <c r="F14" i="3"/>
  <c r="D14" i="3"/>
  <c r="A14" i="3"/>
  <c r="M13" i="3"/>
  <c r="J13" i="3"/>
  <c r="F13" i="3"/>
  <c r="D13" i="3"/>
  <c r="M12" i="3"/>
  <c r="E12" i="5" s="1"/>
  <c r="J12" i="3"/>
  <c r="F12" i="3"/>
  <c r="D12" i="3"/>
  <c r="M11" i="3"/>
  <c r="J11" i="3"/>
  <c r="F11" i="3"/>
  <c r="D11" i="3"/>
  <c r="A11" i="3"/>
  <c r="M10" i="3"/>
  <c r="E10" i="5" s="1"/>
  <c r="J10" i="3"/>
  <c r="F10" i="3"/>
  <c r="D10" i="3"/>
  <c r="M9" i="3"/>
  <c r="E9" i="5" s="1"/>
  <c r="J9" i="3"/>
  <c r="F9" i="3"/>
  <c r="D9" i="3"/>
  <c r="M8" i="3"/>
  <c r="E8" i="5" s="1"/>
  <c r="J8" i="3"/>
  <c r="F8" i="3"/>
  <c r="D8" i="3"/>
  <c r="M7" i="3"/>
  <c r="E7" i="5" s="1"/>
  <c r="J7" i="3"/>
  <c r="F7" i="3"/>
  <c r="D7" i="3"/>
  <c r="A7" i="3"/>
  <c r="M6" i="3"/>
  <c r="E6" i="5" s="1"/>
  <c r="F6" i="5" s="1"/>
  <c r="J6" i="3"/>
  <c r="F6" i="3"/>
  <c r="D6" i="3"/>
  <c r="F17" i="2"/>
  <c r="D17" i="2"/>
  <c r="A17" i="2"/>
  <c r="A17" i="5" s="1"/>
  <c r="F16" i="2"/>
  <c r="D16" i="2"/>
  <c r="A16" i="2"/>
  <c r="F15" i="2"/>
  <c r="D15" i="2"/>
  <c r="A15" i="2"/>
  <c r="A15" i="3" s="1"/>
  <c r="F14" i="2"/>
  <c r="D14" i="2"/>
  <c r="A14" i="2"/>
  <c r="A14" i="5" s="1"/>
  <c r="F13" i="2"/>
  <c r="D13" i="2"/>
  <c r="A13" i="2"/>
  <c r="A13" i="5" s="1"/>
  <c r="F12" i="2"/>
  <c r="D12" i="2"/>
  <c r="A12" i="2"/>
  <c r="A12" i="3" s="1"/>
  <c r="F11" i="2"/>
  <c r="D11" i="2"/>
  <c r="A11" i="2"/>
  <c r="A11" i="5" s="1"/>
  <c r="F10" i="2"/>
  <c r="D10" i="2"/>
  <c r="A10" i="2"/>
  <c r="A10" i="5" s="1"/>
  <c r="F9" i="2"/>
  <c r="D9" i="2"/>
  <c r="A9" i="2"/>
  <c r="A9" i="3" s="1"/>
  <c r="F8" i="2"/>
  <c r="D8" i="2"/>
  <c r="A8" i="2"/>
  <c r="A8" i="5" s="1"/>
  <c r="F7" i="2"/>
  <c r="D7" i="2"/>
  <c r="A7" i="2"/>
  <c r="F6" i="2"/>
  <c r="D6" i="2"/>
  <c r="A6" i="2"/>
  <c r="C10" i="4" s="1"/>
  <c r="G6" i="5" l="1"/>
  <c r="F12" i="5"/>
  <c r="G12" i="5" s="1"/>
  <c r="F17" i="5"/>
  <c r="G17" i="5" s="1"/>
  <c r="F8" i="5"/>
  <c r="G8" i="5" s="1"/>
  <c r="F9" i="5"/>
  <c r="G9" i="5" s="1"/>
  <c r="C17" i="4"/>
  <c r="A10" i="3"/>
  <c r="C14" i="4"/>
  <c r="C11" i="4"/>
  <c r="A13" i="3"/>
  <c r="A17" i="3"/>
  <c r="A15" i="5"/>
  <c r="C12" i="4"/>
  <c r="A6" i="5"/>
  <c r="C15" i="4"/>
  <c r="A8" i="3"/>
  <c r="C16" i="4"/>
  <c r="C13" i="4"/>
  <c r="C18" i="4"/>
  <c r="A6" i="3"/>
  <c r="D13" i="4" l="1"/>
  <c r="E13" i="4" s="1"/>
  <c r="G13" i="4" s="1"/>
  <c r="D15" i="4"/>
  <c r="E15" i="4" s="1"/>
  <c r="G15" i="4" s="1"/>
  <c r="D16" i="4"/>
  <c r="E16" i="4" s="1"/>
  <c r="J6" i="4"/>
  <c r="G6" i="4"/>
  <c r="D18" i="4"/>
  <c r="E18" i="4" s="1"/>
  <c r="G18" i="4" s="1"/>
  <c r="D6" i="4"/>
  <c r="A6" i="4"/>
  <c r="D10" i="4"/>
  <c r="E10" i="4" s="1"/>
  <c r="D12" i="4"/>
  <c r="E12" i="4" s="1"/>
  <c r="G12" i="4" s="1"/>
  <c r="D11" i="4"/>
  <c r="E11" i="4" s="1"/>
  <c r="G11" i="4" s="1"/>
  <c r="D14" i="4"/>
  <c r="E14" i="4" s="1"/>
  <c r="G14" i="4" s="1"/>
  <c r="D17" i="4"/>
  <c r="E17" i="4" s="1"/>
  <c r="B21" i="5"/>
  <c r="G17" i="4" l="1"/>
  <c r="F17" i="4"/>
  <c r="G16" i="4"/>
  <c r="F16" i="4"/>
  <c r="F18" i="4"/>
  <c r="F15" i="4"/>
  <c r="F14" i="4"/>
  <c r="F13" i="4"/>
  <c r="F12" i="4"/>
  <c r="G10" i="4"/>
  <c r="F10" i="4"/>
  <c r="F11" i="4"/>
</calcChain>
</file>

<file path=xl/sharedStrings.xml><?xml version="1.0" encoding="utf-8"?>
<sst xmlns="http://schemas.openxmlformats.org/spreadsheetml/2006/main" count="159" uniqueCount="134">
  <si>
    <t>CONTROLE DE METAS E INDICADORES</t>
  </si>
  <si>
    <t>Painel mensal para acompanhar Meta × Realizado × Diferença, com indicadores financeiros e comerciais.</t>
  </si>
  <si>
    <t>Ano-base</t>
  </si>
  <si>
    <t>DEFINIÇÕES DO MODELO</t>
  </si>
  <si>
    <t>Moeda</t>
  </si>
  <si>
    <t>BRL (R$)</t>
  </si>
  <si>
    <t>Margem</t>
  </si>
  <si>
    <t>Lucro ÷ Faturamento</t>
  </si>
  <si>
    <t>Versão</t>
  </si>
  <si>
    <t>1.0 — 11/08/2026</t>
  </si>
  <si>
    <t>Ticket médio</t>
  </si>
  <si>
    <t>Faturamento ÷ Número de vendas</t>
  </si>
  <si>
    <t>Inadimplência</t>
  </si>
  <si>
    <t>Valor vencido ÷ Base de contas a receber</t>
  </si>
  <si>
    <t>COMO USAR</t>
  </si>
  <si>
    <t>Conversão comercial</t>
  </si>
  <si>
    <t>Número de vendas ÷ Leads/Oportunidades</t>
  </si>
  <si>
    <t>1</t>
  </si>
  <si>
    <t>Ajuste o Ano-base acima, se necessário.</t>
  </si>
  <si>
    <t>Diferença favorável</t>
  </si>
  <si>
    <t>Maior é melhor: Realizado − Meta | Menor é melhor: Meta − Realizado</t>
  </si>
  <si>
    <t>2</t>
  </si>
  <si>
    <t>Na aba METAS, substitua os valores azuis pelas metas mensais.</t>
  </si>
  <si>
    <t>Lucro</t>
  </si>
  <si>
    <t>Entrada do usuário conforme o critério gerencial/contábil adotado pela empresa; não é reconstruído a partir de despesas.</t>
  </si>
  <si>
    <t>3</t>
  </si>
  <si>
    <t>Na aba REALIZADO, informe os valores mensais realizados; campos calculados são automáticos.</t>
  </si>
  <si>
    <t>4</t>
  </si>
  <si>
    <t>No DASHBOARD, escolha a competência e acompanhe Meta × Realizado × Diferença e status.</t>
  </si>
  <si>
    <t>5</t>
  </si>
  <si>
    <t>Consulte AUDITORIA para checar campos incompletos e incoerências básicas.</t>
  </si>
  <si>
    <t>LEGENDA VISUAL</t>
  </si>
  <si>
    <t>Cor</t>
  </si>
  <si>
    <t>Significado</t>
  </si>
  <si>
    <t>Azul</t>
  </si>
  <si>
    <t>Entrada manual</t>
  </si>
  <si>
    <t>Verde</t>
  </si>
  <si>
    <t>Referência entre abas</t>
  </si>
  <si>
    <t>Preto</t>
  </si>
  <si>
    <t>Fórmula/cálculo</t>
  </si>
  <si>
    <t>Amarelo/vermelho</t>
  </si>
  <si>
    <t>Atenção ou revisão</t>
  </si>
  <si>
    <t>PESQUISA E PREMISSAS</t>
  </si>
  <si>
    <t>Data de corte</t>
  </si>
  <si>
    <t>11/08/2026</t>
  </si>
  <si>
    <t>Sebrae — indicadores e ticket médio</t>
  </si>
  <si>
    <t>https://bis.sebrae.com.br/bis/download.zhtml?t=D&amp;uid=b710be21fb27dace451a5ce8dddd7c1b</t>
  </si>
  <si>
    <t>Sebrae — gestão financeira / lucratividade</t>
  </si>
  <si>
    <t>https://bis.sebrae.com.br/bis/download.zhtml?t=D&amp;uid=E0482454CE9EA9190325714700417309</t>
  </si>
  <si>
    <t>Salesforce — taxa de conversão de vendas</t>
  </si>
  <si>
    <t>https://www.salesforce.com/sales/analytics/sales-conversion-rate/</t>
  </si>
  <si>
    <t>Microsoft — referências estruturadas em tabelas</t>
  </si>
  <si>
    <t>https://support.microsoft.com/en-us/excel/using-structured-references-with-excel-tables</t>
  </si>
  <si>
    <t>Premissa de inadimplência</t>
  </si>
  <si>
    <t>Modelo gerencial: valor vencido / base de contas a receber. Ajuste o conceito se sua empresa adotar outro critério.</t>
  </si>
  <si>
    <t>Observação: os dados preenchidos nas abas METAS e REALIZADO são EXEMPLOS FICTÍCIOS para demonstrar o funcionamento. Substitua-os pelos dados da sua empresa.</t>
  </si>
  <si>
    <t>METAS MENSAIS</t>
  </si>
  <si>
    <t>Preencha somente as células azuis. Margem e Ticket Médio são derivados automaticamente para manter consistência entre metas.</t>
  </si>
  <si>
    <t>Competência</t>
  </si>
  <si>
    <t>Faturamento Meta (R$)</t>
  </si>
  <si>
    <t>Lucro Meta (R$)</t>
  </si>
  <si>
    <t>Margem Meta (%)</t>
  </si>
  <si>
    <t>Nº Vendas Meta</t>
  </si>
  <si>
    <t>Ticket Médio Meta (R$)</t>
  </si>
  <si>
    <t>Novos Clientes Meta</t>
  </si>
  <si>
    <t>Inadimplência Meta (%)</t>
  </si>
  <si>
    <t>Despesas Meta (R$)</t>
  </si>
  <si>
    <t>Conversão Meta (%)</t>
  </si>
  <si>
    <t>REALIZADO MENSAL</t>
  </si>
  <si>
    <t>Preencha as células azuis. Margem, Ticket Médio, Inadimplência (%) e Conversão (%) são calculados automaticamente.</t>
  </si>
  <si>
    <t>Faturamento Realizado (R$)</t>
  </si>
  <si>
    <t>Lucro Realizado (R$)</t>
  </si>
  <si>
    <t>Margem Realizada (%)</t>
  </si>
  <si>
    <t>Nº Vendas</t>
  </si>
  <si>
    <t>Ticket Médio (R$)</t>
  </si>
  <si>
    <t>Novos Clientes</t>
  </si>
  <si>
    <t>Valor Vencido (R$)</t>
  </si>
  <si>
    <t>Base Contas a Receber (R$)</t>
  </si>
  <si>
    <t>Inadimplência (%)</t>
  </si>
  <si>
    <t>Despesas (R$)</t>
  </si>
  <si>
    <t>Leads/Oportunidades</t>
  </si>
  <si>
    <t>Conversão (%)</t>
  </si>
  <si>
    <t>Observações</t>
  </si>
  <si>
    <t>Campanha de aquisição em início</t>
  </si>
  <si>
    <t>Melhora no mix de vendas</t>
  </si>
  <si>
    <t>Atrasos pontuais em recebimentos</t>
  </si>
  <si>
    <t>Conversão acima da meta</t>
  </si>
  <si>
    <t>Boa retenção e upsell</t>
  </si>
  <si>
    <t>Pressão de despesas</t>
  </si>
  <si>
    <t>Recorde de novos clientes</t>
  </si>
  <si>
    <t>Mês de referência atual</t>
  </si>
  <si>
    <t>Exemplo fictício</t>
  </si>
  <si>
    <t>DASHBOARD — METAS E INDICADORES</t>
  </si>
  <si>
    <t>Competência selecionada</t>
  </si>
  <si>
    <t>FATURAMENTO</t>
  </si>
  <si>
    <t>LUCRO</t>
  </si>
  <si>
    <t>MARGEM</t>
  </si>
  <si>
    <t>CONVERSÃO</t>
  </si>
  <si>
    <t>Indicador</t>
  </si>
  <si>
    <t>Direção</t>
  </si>
  <si>
    <t>Meta</t>
  </si>
  <si>
    <t>Realizado</t>
  </si>
  <si>
    <t>Desvio (%)</t>
  </si>
  <si>
    <t>Status</t>
  </si>
  <si>
    <t>LEITURA RÁPIDA</t>
  </si>
  <si>
    <t>Faturamento</t>
  </si>
  <si>
    <t>↑ maior é melhor</t>
  </si>
  <si>
    <t>Diferença favorável positiva = desempenho melhor que a meta.
Para Despesas e Inadimplência, menor realizado é considerado favorável.
Os indicadores são mensais e seguem a competência selecionada acima.</t>
  </si>
  <si>
    <t>Número de vendas</t>
  </si>
  <si>
    <t>Novos clientes</t>
  </si>
  <si>
    <t>↓ menor é melhor</t>
  </si>
  <si>
    <t>RESUMO DO ANO — INDICADORES-CHAVE</t>
  </si>
  <si>
    <t>Despesas</t>
  </si>
  <si>
    <t>Meta Anual</t>
  </si>
  <si>
    <t>Realizado Anual</t>
  </si>
  <si>
    <t>Diferença</t>
  </si>
  <si>
    <t>Nº vendas</t>
  </si>
  <si>
    <t>AUDITORIA E CHECKS</t>
  </si>
  <si>
    <t>Controles básicos de completude e coerência. 'REVISAR' indica que algum dado deve ser conferido.</t>
  </si>
  <si>
    <t>Metas completas</t>
  </si>
  <si>
    <t>Realizado completo</t>
  </si>
  <si>
    <t>Inadimplência coerente</t>
  </si>
  <si>
    <t>Conversão ≤ 100%</t>
  </si>
  <si>
    <t>Status geral</t>
  </si>
  <si>
    <t>Observação</t>
  </si>
  <si>
    <t>Resumo</t>
  </si>
  <si>
    <t>Resultado</t>
  </si>
  <si>
    <t>Competências a revisar</t>
  </si>
  <si>
    <t>Fórmulas críticas</t>
  </si>
  <si>
    <t>Verificadas na geração</t>
  </si>
  <si>
    <t>Dados reais no modelo</t>
  </si>
  <si>
    <t>Não — exemplos fictícios</t>
  </si>
  <si>
    <t>Macros / links externos</t>
  </si>
  <si>
    <t>Não utilizados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</si>
</sst>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/yyyy"/>
    <numFmt numFmtId="165" formatCode="\R\$\ #,##0;[Red]\(\R\$\ #,##0\);\-"/>
    <numFmt numFmtId="166" formatCode="0.0%;[Red]\(0.0%\);\-"/>
    <numFmt numFmtId="167" formatCode="#,##0;[Red]\(#,##0\);\-"/>
    <numFmt numFmtId="168" formatCode="\R\$\ #,##0.00;[Red]\(\R\$\ #,##0.00\);\-"/>
    <numFmt numFmtId="169" formatCode="\+0.0%;[Red]\-0.0%;\-"/>
  </numFmts>
  <fonts count="17">
    <font>
      <sz val="11"/>
      <name val="Carlito"/>
    </font>
    <font>
      <b/>
      <sz val="16"/>
      <color rgb="FFFFFFFF"/>
      <name val="Aptos"/>
    </font>
    <font>
      <sz val="11"/>
      <name val="Aptos"/>
    </font>
    <font>
      <i/>
      <sz val="11"/>
      <color rgb="FF595959"/>
      <name val="Aptos"/>
    </font>
    <font>
      <b/>
      <sz val="11"/>
      <color rgb="FF17365D"/>
      <name val="Aptos"/>
    </font>
    <font>
      <b/>
      <sz val="11"/>
      <color rgb="FF0000FF"/>
      <name val="Aptos"/>
    </font>
    <font>
      <b/>
      <sz val="11"/>
      <color rgb="FFFFFFFF"/>
      <name val="Aptos"/>
    </font>
    <font>
      <sz val="11"/>
      <color rgb="FF0000FF"/>
      <name val="Aptos"/>
    </font>
    <font>
      <b/>
      <sz val="11"/>
      <color rgb="FF008000"/>
      <name val="Aptos"/>
    </font>
    <font>
      <b/>
      <sz val="11"/>
      <color rgb="FF000000"/>
      <name val="Aptos"/>
    </font>
    <font>
      <b/>
      <sz val="11"/>
      <color rgb="FFC00000"/>
      <name val="Aptos"/>
    </font>
    <font>
      <b/>
      <sz val="11"/>
      <color rgb="FF595959"/>
      <name val="Aptos"/>
    </font>
    <font>
      <sz val="11"/>
      <color rgb="FF008000"/>
      <name val="Aptos"/>
    </font>
    <font>
      <sz val="11"/>
      <color rgb="FF000000"/>
      <name val="Aptos"/>
    </font>
    <font>
      <b/>
      <sz val="16"/>
      <color rgb="FF008000"/>
      <name val="Aptos"/>
    </font>
    <font>
      <b/>
      <sz val="11"/>
      <name val="Aptos"/>
    </font>
    <font>
      <sz val="11"/>
      <color rgb="FF595959"/>
      <name val="Aptos"/>
    </font>
  </fonts>
  <fills count="9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F2F2F2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2F75B5"/>
      </patternFill>
    </fill>
    <fill>
      <patternFill patternType="solid">
        <fgColor rgb="FFF7FBFF"/>
      </patternFill>
    </fill>
    <fill>
      <patternFill patternType="solid">
        <fgColor rgb="FFF8FBF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NumberFormat="1" applyFont="1" applyFill="1" applyBorder="1"/>
    <xf numFmtId="0" fontId="4" fillId="4" borderId="0" xfId="0" applyNumberFormat="1" applyFont="1" applyFill="1" applyBorder="1" applyAlignment="1">
      <alignment vertical="center"/>
    </xf>
    <xf numFmtId="0" fontId="5" fillId="5" borderId="0" xfId="0" applyNumberFormat="1" applyFont="1" applyFill="1" applyBorder="1" applyAlignment="1">
      <alignment horizontal="center"/>
    </xf>
    <xf numFmtId="0" fontId="7" fillId="5" borderId="0" xfId="0" applyNumberFormat="1" applyFont="1" applyFill="1" applyBorder="1"/>
    <xf numFmtId="0" fontId="2" fillId="0" borderId="0" xfId="0" applyNumberFormat="1" applyFont="1" applyFill="1" applyBorder="1" applyAlignment="1">
      <alignment wrapText="1"/>
    </xf>
    <xf numFmtId="0" fontId="4" fillId="0" borderId="0" xfId="0" applyNumberFormat="1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/>
    <xf numFmtId="0" fontId="8" fillId="0" borderId="0" xfId="0" applyNumberFormat="1" applyFont="1" applyFill="1" applyBorder="1"/>
    <xf numFmtId="0" fontId="9" fillId="0" borderId="0" xfId="0" applyNumberFormat="1" applyFont="1" applyFill="1" applyBorder="1"/>
    <xf numFmtId="0" fontId="10" fillId="5" borderId="0" xfId="0" applyNumberFormat="1" applyFont="1" applyFill="1" applyBorder="1"/>
    <xf numFmtId="164" fontId="12" fillId="0" borderId="0" xfId="0" applyNumberFormat="1" applyFont="1" applyFill="1" applyBorder="1"/>
    <xf numFmtId="165" fontId="7" fillId="7" borderId="0" xfId="0" applyNumberFormat="1" applyFont="1" applyFill="1" applyBorder="1"/>
    <xf numFmtId="166" fontId="13" fillId="0" borderId="0" xfId="0" applyNumberFormat="1" applyFont="1" applyFill="1" applyBorder="1"/>
    <xf numFmtId="167" fontId="7" fillId="7" borderId="0" xfId="0" applyNumberFormat="1" applyFont="1" applyFill="1" applyBorder="1"/>
    <xf numFmtId="168" fontId="13" fillId="0" borderId="0" xfId="0" applyNumberFormat="1" applyFont="1" applyFill="1" applyBorder="1"/>
    <xf numFmtId="166" fontId="7" fillId="7" borderId="0" xfId="0" applyNumberFormat="1" applyFont="1" applyFill="1" applyBorder="1"/>
    <xf numFmtId="0" fontId="7" fillId="7" borderId="0" xfId="0" applyNumberFormat="1" applyFont="1" applyFill="1" applyBorder="1" applyAlignment="1">
      <alignment wrapText="1"/>
    </xf>
    <xf numFmtId="164" fontId="5" fillId="5" borderId="0" xfId="0" applyNumberFormat="1" applyFont="1" applyFill="1" applyBorder="1" applyAlignment="1">
      <alignment horizontal="center"/>
    </xf>
    <xf numFmtId="0" fontId="15" fillId="0" borderId="0" xfId="0" applyNumberFormat="1" applyFont="1" applyFill="1" applyBorder="1"/>
    <xf numFmtId="0" fontId="16" fillId="0" borderId="0" xfId="0" applyNumberFormat="1" applyFont="1" applyFill="1" applyBorder="1"/>
    <xf numFmtId="165" fontId="12" fillId="0" borderId="0" xfId="0" applyNumberFormat="1" applyFont="1" applyFill="1" applyBorder="1"/>
    <xf numFmtId="165" fontId="2" fillId="0" borderId="0" xfId="0" applyNumberFormat="1" applyFont="1" applyFill="1" applyBorder="1"/>
    <xf numFmtId="169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center"/>
    </xf>
    <xf numFmtId="166" fontId="12" fillId="0" borderId="0" xfId="0" applyNumberFormat="1" applyFont="1" applyFill="1" applyBorder="1"/>
    <xf numFmtId="166" fontId="2" fillId="0" borderId="0" xfId="0" applyNumberFormat="1" applyFont="1" applyFill="1" applyBorder="1"/>
    <xf numFmtId="167" fontId="12" fillId="0" borderId="0" xfId="0" applyNumberFormat="1" applyFont="1" applyFill="1" applyBorder="1"/>
    <xf numFmtId="167" fontId="2" fillId="0" borderId="0" xfId="0" applyNumberFormat="1" applyFont="1" applyFill="1" applyBorder="1"/>
    <xf numFmtId="168" fontId="12" fillId="0" borderId="0" xfId="0" applyNumberFormat="1" applyFont="1" applyFill="1" applyBorder="1"/>
    <xf numFmtId="168" fontId="2" fillId="0" borderId="0" xfId="0" applyNumberFormat="1" applyFont="1" applyFill="1" applyBorder="1"/>
    <xf numFmtId="0" fontId="1" fillId="2" borderId="0" xfId="0" applyNumberFormat="1" applyFont="1" applyFill="1" applyBorder="1" applyAlignment="1">
      <alignment horizontal="left" vertical="center"/>
    </xf>
    <xf numFmtId="0" fontId="3" fillId="3" borderId="0" xfId="0" applyNumberFormat="1" applyFont="1" applyFill="1" applyBorder="1" applyAlignment="1">
      <alignment wrapText="1"/>
    </xf>
    <xf numFmtId="0" fontId="6" fillId="6" borderId="0" xfId="0" applyNumberFormat="1" applyFont="1" applyFill="1" applyBorder="1" applyAlignment="1">
      <alignment vertical="center"/>
    </xf>
    <xf numFmtId="0" fontId="4" fillId="4" borderId="0" xfId="0" applyNumberFormat="1" applyFont="1" applyFill="1" applyBorder="1" applyAlignment="1">
      <alignment vertical="center"/>
    </xf>
    <xf numFmtId="0" fontId="6" fillId="6" borderId="0" xfId="0" applyNumberFormat="1" applyFont="1" applyFill="1" applyBorder="1" applyAlignment="1">
      <alignment vertical="center" wrapText="1"/>
    </xf>
    <xf numFmtId="0" fontId="11" fillId="5" borderId="0" xfId="0" applyNumberFormat="1" applyFont="1" applyFill="1" applyBorder="1" applyAlignment="1">
      <alignment wrapText="1"/>
    </xf>
    <xf numFmtId="0" fontId="1" fillId="2" borderId="0" xfId="0" applyNumberFormat="1" applyFont="1" applyFill="1" applyBorder="1" applyAlignment="1">
      <alignment vertical="center"/>
    </xf>
    <xf numFmtId="0" fontId="6" fillId="6" borderId="0" xfId="0" applyNumberFormat="1" applyFont="1" applyFill="1" applyBorder="1" applyAlignment="1">
      <alignment horizontal="center"/>
    </xf>
    <xf numFmtId="165" fontId="14" fillId="8" borderId="0" xfId="0" applyNumberFormat="1" applyFont="1" applyFill="1" applyBorder="1" applyAlignment="1">
      <alignment horizontal="center" vertical="center"/>
    </xf>
    <xf numFmtId="166" fontId="14" fillId="8" borderId="0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vertical="top" wrapText="1"/>
    </xf>
  </cellXfs>
  <cellStyles count="1">
    <cellStyle name="Normal" xfId="0" builtinId="0"/>
  </cellStyles>
  <dxfs count="7">
    <dxf>
      <font>
        <b/>
        <color rgb="FFC00000"/>
      </font>
      <fill>
        <patternFill patternType="solid">
          <bgColor rgb="FFF4CCCC"/>
        </patternFill>
      </fill>
    </dxf>
    <dxf>
      <font>
        <b/>
        <color rgb="FF006100"/>
      </font>
      <fill>
        <patternFill patternType="solid">
          <bgColor rgb="FFE2F0D9"/>
        </patternFill>
      </fill>
    </dxf>
    <dxf>
      <font>
        <b/>
        <color rgb="FFC00000"/>
      </font>
    </dxf>
    <dxf>
      <font>
        <b/>
        <color rgb="FFC00000"/>
      </font>
      <fill>
        <patternFill patternType="solid">
          <bgColor rgb="FFF4CCCC"/>
        </patternFill>
      </fill>
    </dxf>
    <dxf>
      <font>
        <b/>
        <color rgb="FF006100"/>
      </font>
      <fill>
        <patternFill patternType="solid">
          <bgColor rgb="FFE2F0D9"/>
        </patternFill>
      </fill>
    </dxf>
    <dxf>
      <font>
        <b/>
        <color rgb="FFC00000"/>
      </font>
      <fill>
        <patternFill patternType="solid">
          <bgColor rgb="FFFFF2CC"/>
        </patternFill>
      </fill>
    </dxf>
    <dxf>
      <font>
        <b/>
        <color rgb="FFC00000"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Meta</c:v>
          </c:tx>
          <c:invertIfNegative val="1"/>
          <c:cat>
            <c:numRef>
              <c:f>METAS!$A$6:$A$17</c:f>
              <c:numCache>
                <c:formatCode>mmm/yyyy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METAS!$B$6:$B$17</c:f>
              <c:numCache>
                <c:formatCode>\R\$\ #,##0;[Red]\(\R\$\ #,##0\);\-</c:formatCode>
                <c:ptCount val="12"/>
                <c:pt idx="0">
                  <c:v>100000</c:v>
                </c:pt>
                <c:pt idx="1">
                  <c:v>103000</c:v>
                </c:pt>
                <c:pt idx="2">
                  <c:v>106000</c:v>
                </c:pt>
                <c:pt idx="3">
                  <c:v>109000</c:v>
                </c:pt>
                <c:pt idx="4">
                  <c:v>112000</c:v>
                </c:pt>
                <c:pt idx="5">
                  <c:v>115000</c:v>
                </c:pt>
                <c:pt idx="6">
                  <c:v>118000</c:v>
                </c:pt>
                <c:pt idx="7">
                  <c:v>121000</c:v>
                </c:pt>
                <c:pt idx="8">
                  <c:v>124000</c:v>
                </c:pt>
                <c:pt idx="9">
                  <c:v>127000</c:v>
                </c:pt>
                <c:pt idx="10">
                  <c:v>130000</c:v>
                </c:pt>
                <c:pt idx="11">
                  <c:v>135000</c:v>
                </c:pt>
              </c:numCache>
            </c:numRef>
          </c:val>
        </c:ser>
        <c:ser>
          <c:idx val="1"/>
          <c:order val="1"/>
          <c:tx>
            <c:v>Realizado</c:v>
          </c:tx>
          <c:invertIfNegative val="1"/>
          <c:cat>
            <c:numRef>
              <c:f>METAS!$A$6:$A$17</c:f>
              <c:numCache>
                <c:formatCode>mmm/yyyy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REALIZADO!$B$6:$B$17</c:f>
              <c:numCache>
                <c:formatCode>\R\$\ #,##0;[Red]\(\R\$\ #,##0\);\-</c:formatCode>
                <c:ptCount val="12"/>
                <c:pt idx="0">
                  <c:v>98000</c:v>
                </c:pt>
                <c:pt idx="1">
                  <c:v>105500</c:v>
                </c:pt>
                <c:pt idx="2">
                  <c:v>101000</c:v>
                </c:pt>
                <c:pt idx="3">
                  <c:v>112500</c:v>
                </c:pt>
                <c:pt idx="4">
                  <c:v>114000</c:v>
                </c:pt>
                <c:pt idx="5">
                  <c:v>111500</c:v>
                </c:pt>
                <c:pt idx="6">
                  <c:v>121500</c:v>
                </c:pt>
                <c:pt idx="7">
                  <c:v>119000</c:v>
                </c:pt>
                <c:pt idx="8">
                  <c:v>126000</c:v>
                </c:pt>
                <c:pt idx="9">
                  <c:v>125500</c:v>
                </c:pt>
                <c:pt idx="10">
                  <c:v>133000</c:v>
                </c:pt>
                <c:pt idx="11">
                  <c:v>140000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4723832"/>
        <c:axId val="444723048"/>
      </c:barChart>
      <c:dateAx>
        <c:axId val="44472383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mmm/yyyy" sourceLinked="1"/>
        <c:majorTickMark val="none"/>
        <c:minorTickMark val="none"/>
        <c:tickLblPos val="nextTo"/>
        <c:crossAx val="444723048"/>
        <c:crosses val="autoZero"/>
        <c:auto val="1"/>
        <c:lblOffset val="100"/>
        <c:baseTimeUnit val="months"/>
      </c:dateAx>
      <c:valAx>
        <c:axId val="44472304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;[Red]\(\R\$\ #,##0\);\-" sourceLinked="1"/>
        <c:majorTickMark val="none"/>
        <c:minorTickMark val="none"/>
        <c:tickLblPos val="nextTo"/>
        <c:crossAx val="444723832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Meta</c:v>
          </c:tx>
          <c:marker>
            <c:symbol val="none"/>
          </c:marker>
          <c:cat>
            <c:numRef>
              <c:f>METAS!$A$6:$A$17</c:f>
              <c:numCache>
                <c:formatCode>mmm/yyyy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METAS!$J$6:$J$17</c:f>
              <c:numCache>
                <c:formatCode>0.0%;[Red]\(0.0%\);\-</c:formatCode>
                <c:ptCount val="12"/>
                <c:pt idx="0">
                  <c:v>0.2</c:v>
                </c:pt>
                <c:pt idx="1">
                  <c:v>0.2</c:v>
                </c:pt>
                <c:pt idx="2">
                  <c:v>0.20499999999999999</c:v>
                </c:pt>
                <c:pt idx="3">
                  <c:v>0.20499999999999999</c:v>
                </c:pt>
                <c:pt idx="4">
                  <c:v>0.21</c:v>
                </c:pt>
                <c:pt idx="5">
                  <c:v>0.21</c:v>
                </c:pt>
                <c:pt idx="6">
                  <c:v>0.215</c:v>
                </c:pt>
                <c:pt idx="7">
                  <c:v>0.215</c:v>
                </c:pt>
                <c:pt idx="8">
                  <c:v>0.22</c:v>
                </c:pt>
                <c:pt idx="9">
                  <c:v>0.22</c:v>
                </c:pt>
                <c:pt idx="10">
                  <c:v>0.22500000000000001</c:v>
                </c:pt>
                <c:pt idx="11">
                  <c:v>0.23</c:v>
                </c:pt>
              </c:numCache>
            </c:numRef>
          </c:val>
          <c:smooth val="1"/>
        </c:ser>
        <c:ser>
          <c:idx val="1"/>
          <c:order val="1"/>
          <c:tx>
            <c:v>Realizado</c:v>
          </c:tx>
          <c:marker>
            <c:symbol val="none"/>
          </c:marker>
          <c:cat>
            <c:numRef>
              <c:f>METAS!$A$6:$A$17</c:f>
              <c:numCache>
                <c:formatCode>mmm/yyyy</c:formatCode>
                <c:ptCount val="12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</c:numCache>
            </c:numRef>
          </c:cat>
          <c:val>
            <c:numRef>
              <c:f>REALIZADO!$M$6:$M$17</c:f>
              <c:numCache>
                <c:formatCode>0.0%;[Red]\(0.0%\);\-</c:formatCode>
                <c:ptCount val="12"/>
                <c:pt idx="0">
                  <c:v>0.20103092783505155</c:v>
                </c:pt>
                <c:pt idx="1">
                  <c:v>0.20536585365853657</c:v>
                </c:pt>
                <c:pt idx="2">
                  <c:v>0.20351758793969849</c:v>
                </c:pt>
                <c:pt idx="3">
                  <c:v>0.21057692307692308</c:v>
                </c:pt>
                <c:pt idx="4">
                  <c:v>0.21285714285714286</c:v>
                </c:pt>
                <c:pt idx="5">
                  <c:v>0.20187793427230047</c:v>
                </c:pt>
                <c:pt idx="6">
                  <c:v>0.21488372093023256</c:v>
                </c:pt>
                <c:pt idx="7">
                  <c:v>0.20733944954128442</c:v>
                </c:pt>
                <c:pt idx="8">
                  <c:v>0.21636363636363637</c:v>
                </c:pt>
                <c:pt idx="9">
                  <c:v>0.21176470588235294</c:v>
                </c:pt>
                <c:pt idx="10">
                  <c:v>0.21830357142857143</c:v>
                </c:pt>
                <c:pt idx="11">
                  <c:v>0.22566371681415928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724224"/>
        <c:axId val="444727360"/>
      </c:lineChart>
      <c:dateAx>
        <c:axId val="44472422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mmm/yyyy" sourceLinked="1"/>
        <c:majorTickMark val="none"/>
        <c:minorTickMark val="none"/>
        <c:tickLblPos val="nextTo"/>
        <c:crossAx val="444727360"/>
        <c:crosses val="autoZero"/>
        <c:auto val="1"/>
        <c:lblOffset val="100"/>
        <c:baseTimeUnit val="months"/>
      </c:dateAx>
      <c:valAx>
        <c:axId val="444727360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%;[Red]\(0.0%\);\-" sourceLinked="1"/>
        <c:majorTickMark val="none"/>
        <c:minorTickMark val="none"/>
        <c:tickLblPos val="nextTo"/>
        <c:crossAx val="444724224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7</xdr:col>
      <xdr:colOff>0</xdr:colOff>
      <xdr:row>38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20</xdr:row>
      <xdr:rowOff>0</xdr:rowOff>
    </xdr:from>
    <xdr:to>
      <xdr:col>14</xdr:col>
      <xdr:colOff>0</xdr:colOff>
      <xdr:row>38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Metas" displayName="tblMetas" ref="A5:J17" totalsRowShown="0">
  <tableColumns count="10">
    <tableColumn id="1" name="Competência"/>
    <tableColumn id="2" name="Faturamento Meta (R$)"/>
    <tableColumn id="3" name="Lucro Meta (R$)"/>
    <tableColumn id="4" name="Margem Meta (%)"/>
    <tableColumn id="5" name="Nº Vendas Meta"/>
    <tableColumn id="6" name="Ticket Médio Meta (R$)"/>
    <tableColumn id="7" name="Novos Clientes Meta"/>
    <tableColumn id="8" name="Inadimplência Meta (%)"/>
    <tableColumn id="9" name="Despesas Meta (R$)"/>
    <tableColumn id="10" name="Conversão Meta (%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Realizado" displayName="tblRealizado" ref="A5:N17" totalsRowShown="0">
  <tableColumns count="14">
    <tableColumn id="1" name="Competência"/>
    <tableColumn id="2" name="Faturamento Realizado (R$)"/>
    <tableColumn id="3" name="Lucro Realizado (R$)"/>
    <tableColumn id="4" name="Margem Realizada (%)"/>
    <tableColumn id="5" name="Nº Vendas"/>
    <tableColumn id="6" name="Ticket Médio (R$)"/>
    <tableColumn id="7" name="Novos Clientes"/>
    <tableColumn id="8" name="Valor Vencido (R$)"/>
    <tableColumn id="9" name="Base Contas a Receber (R$)"/>
    <tableColumn id="10" name="Inadimplência (%)"/>
    <tableColumn id="11" name="Despesas (R$)"/>
    <tableColumn id="12" name="Leads/Oportunidades"/>
    <tableColumn id="13" name="Conversão (%)"/>
    <tableColumn id="14" name="Observaçõ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blAuditoria" displayName="tblAuditoria" ref="A5:G17" totalsRowShown="0">
  <tableColumns count="7">
    <tableColumn id="1" name="Competência"/>
    <tableColumn id="2" name="Metas completas"/>
    <tableColumn id="3" name="Realizado completo"/>
    <tableColumn id="4" name="Inadimplência coerente"/>
    <tableColumn id="5" name="Conversão ≤ 100%"/>
    <tableColumn id="6" name="Status geral"/>
    <tableColumn id="7" name="Observaçã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showGridLines="0" tabSelected="1" workbookViewId="0">
      <selection sqref="A1:N2"/>
    </sheetView>
  </sheetViews>
  <sheetFormatPr defaultRowHeight="14.25"/>
  <cols>
    <col min="1" max="1" width="22" customWidth="1"/>
    <col min="2" max="2" width="18" customWidth="1"/>
    <col min="3" max="4" width="16" customWidth="1"/>
    <col min="5" max="5" width="19" customWidth="1"/>
    <col min="6" max="6" width="14" customWidth="1"/>
    <col min="7" max="7" width="20" customWidth="1"/>
    <col min="8" max="8" width="4" customWidth="1"/>
    <col min="9" max="9" width="20" customWidth="1"/>
    <col min="10" max="12" width="16" customWidth="1"/>
    <col min="13" max="14" width="14" customWidth="1"/>
  </cols>
  <sheetData>
    <row r="1" spans="1:14">
      <c r="A1" s="38" t="s">
        <v>92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ht="15">
      <c r="A3" s="2" t="s">
        <v>93</v>
      </c>
      <c r="B3" s="19">
        <v>46235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">
      <c r="A5" s="39" t="s">
        <v>94</v>
      </c>
      <c r="B5" s="39"/>
      <c r="C5" s="39"/>
      <c r="D5" s="39" t="s">
        <v>95</v>
      </c>
      <c r="E5" s="39"/>
      <c r="F5" s="39"/>
      <c r="G5" s="39" t="s">
        <v>96</v>
      </c>
      <c r="H5" s="39"/>
      <c r="I5" s="39"/>
      <c r="J5" s="39" t="s">
        <v>97</v>
      </c>
      <c r="K5" s="39"/>
      <c r="L5" s="39"/>
      <c r="M5" s="1"/>
      <c r="N5" s="1"/>
    </row>
    <row r="6" spans="1:14" ht="24" customHeight="1">
      <c r="A6" s="40">
        <f>SUMIFS(REALIZADO!$B$6:$B$17,REALIZADO!$A$6:$A$17,$B$3)</f>
        <v>119000</v>
      </c>
      <c r="B6" s="40"/>
      <c r="C6" s="40"/>
      <c r="D6" s="40">
        <f>SUMIFS(REALIZADO!$C$6:$C$17,REALIZADO!$A$6:$A$17,$B$3)</f>
        <v>18300</v>
      </c>
      <c r="E6" s="40"/>
      <c r="F6" s="40"/>
      <c r="G6" s="41">
        <f>SUMIFS(REALIZADO!$D$6:$D$17,REALIZADO!$A$6:$A$17,$B$3)</f>
        <v>0.15378151260504203</v>
      </c>
      <c r="H6" s="41"/>
      <c r="I6" s="41"/>
      <c r="J6" s="41">
        <f>SUMIFS(REALIZADO!$M$6:$M$17,REALIZADO!$A$6:$A$17,$B$3)</f>
        <v>0.20733944954128442</v>
      </c>
      <c r="K6" s="41"/>
      <c r="L6" s="41"/>
      <c r="M6" s="1"/>
      <c r="N6" s="1"/>
    </row>
    <row r="7" spans="1:14" ht="24" customHeight="1">
      <c r="A7" s="40"/>
      <c r="B7" s="40"/>
      <c r="C7" s="40"/>
      <c r="D7" s="40"/>
      <c r="E7" s="40"/>
      <c r="F7" s="40"/>
      <c r="G7" s="41"/>
      <c r="H7" s="41"/>
      <c r="I7" s="41"/>
      <c r="J7" s="41"/>
      <c r="K7" s="41"/>
      <c r="L7" s="41"/>
      <c r="M7" s="1"/>
      <c r="N7" s="1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ht="15">
      <c r="A9" s="7" t="s">
        <v>98</v>
      </c>
      <c r="B9" s="7" t="s">
        <v>99</v>
      </c>
      <c r="C9" s="7" t="s">
        <v>100</v>
      </c>
      <c r="D9" s="7" t="s">
        <v>101</v>
      </c>
      <c r="E9" s="7" t="s">
        <v>19</v>
      </c>
      <c r="F9" s="7" t="s">
        <v>102</v>
      </c>
      <c r="G9" s="7" t="s">
        <v>103</v>
      </c>
      <c r="H9" s="1"/>
      <c r="I9" s="34" t="s">
        <v>104</v>
      </c>
      <c r="J9" s="34"/>
      <c r="K9" s="34"/>
      <c r="L9" s="34"/>
      <c r="M9" s="34"/>
      <c r="N9" s="34"/>
    </row>
    <row r="10" spans="1:14" ht="15">
      <c r="A10" s="20" t="s">
        <v>105</v>
      </c>
      <c r="B10" s="21" t="s">
        <v>106</v>
      </c>
      <c r="C10" s="22">
        <f>SUMIFS(METAS!$B$6:$B$17,METAS!$A$6:$A$17,$B$3)</f>
        <v>121000</v>
      </c>
      <c r="D10" s="22">
        <f>SUMIFS(REALIZADO!$B$6:$B$17,REALIZADO!$A$6:$A$17,$B$3)</f>
        <v>119000</v>
      </c>
      <c r="E10" s="23">
        <f t="shared" ref="E10:E15" si="0">D10-C10</f>
        <v>-2000</v>
      </c>
      <c r="F10" s="24">
        <f t="shared" ref="F10:F18" si="1">IF(C10=0,"",E10/C10)</f>
        <v>-1.6528925619834711E-2</v>
      </c>
      <c r="G10" s="25" t="str">
        <f t="shared" ref="G10:G18" si="2">IF(E10&gt;=0,"META ATINGIDA","ABAIXO DA META")</f>
        <v>ABAIXO DA META</v>
      </c>
      <c r="H10" s="1"/>
      <c r="I10" s="42" t="s">
        <v>107</v>
      </c>
      <c r="J10" s="42"/>
      <c r="K10" s="42"/>
      <c r="L10" s="42"/>
      <c r="M10" s="42"/>
      <c r="N10" s="42"/>
    </row>
    <row r="11" spans="1:14" ht="15">
      <c r="A11" s="20" t="s">
        <v>23</v>
      </c>
      <c r="B11" s="21" t="s">
        <v>106</v>
      </c>
      <c r="C11" s="22">
        <f>SUMIFS(METAS!$C$6:$C$17,METAS!$A$6:$A$17,$B$3)</f>
        <v>18500</v>
      </c>
      <c r="D11" s="22">
        <f>SUMIFS(REALIZADO!$C$6:$C$17,REALIZADO!$A$6:$A$17,$B$3)</f>
        <v>18300</v>
      </c>
      <c r="E11" s="23">
        <f t="shared" si="0"/>
        <v>-200</v>
      </c>
      <c r="F11" s="24">
        <f t="shared" si="1"/>
        <v>-1.0810810810810811E-2</v>
      </c>
      <c r="G11" s="25" t="str">
        <f t="shared" si="2"/>
        <v>ABAIXO DA META</v>
      </c>
      <c r="H11" s="1"/>
      <c r="I11" s="42"/>
      <c r="J11" s="42"/>
      <c r="K11" s="42"/>
      <c r="L11" s="42"/>
      <c r="M11" s="42"/>
      <c r="N11" s="42"/>
    </row>
    <row r="12" spans="1:14" ht="15">
      <c r="A12" s="20" t="s">
        <v>6</v>
      </c>
      <c r="B12" s="21" t="s">
        <v>106</v>
      </c>
      <c r="C12" s="26">
        <f>SUMIFS(METAS!$D$6:$D$17,METAS!$A$6:$A$17,$B$3)</f>
        <v>0.15289256198347106</v>
      </c>
      <c r="D12" s="26">
        <f>SUMIFS(REALIZADO!$D$6:$D$17,REALIZADO!$A$6:$A$17,$B$3)</f>
        <v>0.15378151260504203</v>
      </c>
      <c r="E12" s="27">
        <f t="shared" si="0"/>
        <v>8.8895062157096083E-4</v>
      </c>
      <c r="F12" s="24">
        <f t="shared" si="1"/>
        <v>5.8142175789235818E-3</v>
      </c>
      <c r="G12" s="25" t="str">
        <f t="shared" si="2"/>
        <v>META ATINGIDA</v>
      </c>
      <c r="H12" s="1"/>
      <c r="I12" s="42"/>
      <c r="J12" s="42"/>
      <c r="K12" s="42"/>
      <c r="L12" s="42"/>
      <c r="M12" s="42"/>
      <c r="N12" s="42"/>
    </row>
    <row r="13" spans="1:14" ht="15">
      <c r="A13" s="20" t="s">
        <v>108</v>
      </c>
      <c r="B13" s="21" t="s">
        <v>106</v>
      </c>
      <c r="C13" s="28">
        <f>SUMIFS(METAS!$E$6:$E$17,METAS!$A$6:$A$17,$B$3)</f>
        <v>456</v>
      </c>
      <c r="D13" s="28">
        <f>SUMIFS(REALIZADO!$E$6:$E$17,REALIZADO!$A$6:$A$17,$B$3)</f>
        <v>452</v>
      </c>
      <c r="E13" s="29">
        <f t="shared" si="0"/>
        <v>-4</v>
      </c>
      <c r="F13" s="24">
        <f t="shared" si="1"/>
        <v>-8.771929824561403E-3</v>
      </c>
      <c r="G13" s="25" t="str">
        <f t="shared" si="2"/>
        <v>ABAIXO DA META</v>
      </c>
      <c r="H13" s="1"/>
      <c r="I13" s="42"/>
      <c r="J13" s="42"/>
      <c r="K13" s="42"/>
      <c r="L13" s="42"/>
      <c r="M13" s="42"/>
      <c r="N13" s="42"/>
    </row>
    <row r="14" spans="1:14" ht="15">
      <c r="A14" s="20" t="s">
        <v>10</v>
      </c>
      <c r="B14" s="21" t="s">
        <v>106</v>
      </c>
      <c r="C14" s="30">
        <f>SUMIFS(METAS!$F$6:$F$17,METAS!$A$6:$A$17,$B$3)</f>
        <v>265.35087719298247</v>
      </c>
      <c r="D14" s="30">
        <f>SUMIFS(REALIZADO!$F$6:$F$17,REALIZADO!$A$6:$A$17,$B$3)</f>
        <v>263.27433628318585</v>
      </c>
      <c r="E14" s="31">
        <f t="shared" si="0"/>
        <v>-2.0765409097966199</v>
      </c>
      <c r="F14" s="24">
        <f t="shared" si="1"/>
        <v>-7.8256417757624677E-3</v>
      </c>
      <c r="G14" s="25" t="str">
        <f t="shared" si="2"/>
        <v>ABAIXO DA META</v>
      </c>
      <c r="H14" s="1"/>
      <c r="I14" s="42"/>
      <c r="J14" s="42"/>
      <c r="K14" s="42"/>
      <c r="L14" s="42"/>
      <c r="M14" s="42"/>
      <c r="N14" s="42"/>
    </row>
    <row r="15" spans="1:14" ht="15">
      <c r="A15" s="20" t="s">
        <v>109</v>
      </c>
      <c r="B15" s="21" t="s">
        <v>106</v>
      </c>
      <c r="C15" s="28">
        <f>SUMIFS(METAS!$G$6:$G$17,METAS!$A$6:$A$17,$B$3)</f>
        <v>84</v>
      </c>
      <c r="D15" s="28">
        <f>SUMIFS(REALIZADO!$G$6:$G$17,REALIZADO!$A$6:$A$17,$B$3)</f>
        <v>86</v>
      </c>
      <c r="E15" s="29">
        <f t="shared" si="0"/>
        <v>2</v>
      </c>
      <c r="F15" s="24">
        <f t="shared" si="1"/>
        <v>2.3809523809523808E-2</v>
      </c>
      <c r="G15" s="25" t="str">
        <f t="shared" si="2"/>
        <v>META ATINGIDA</v>
      </c>
      <c r="H15" s="1"/>
      <c r="I15" s="1"/>
      <c r="J15" s="1"/>
      <c r="K15" s="1"/>
      <c r="L15" s="1"/>
      <c r="M15" s="1"/>
      <c r="N15" s="1"/>
    </row>
    <row r="16" spans="1:14" ht="15">
      <c r="A16" s="20" t="s">
        <v>12</v>
      </c>
      <c r="B16" s="21" t="s">
        <v>110</v>
      </c>
      <c r="C16" s="26">
        <f>SUMIFS(METAS!$H$6:$H$17,METAS!$A$6:$A$17,$B$3)</f>
        <v>4.4999999999999998E-2</v>
      </c>
      <c r="D16" s="26">
        <f>SUMIFS(REALIZADO!$J$6:$J$17,REALIZADO!$A$6:$A$17,$B$3)</f>
        <v>4.4444444444444446E-2</v>
      </c>
      <c r="E16" s="27">
        <f>C16-D16</f>
        <v>5.5555555555555219E-4</v>
      </c>
      <c r="F16" s="24">
        <f t="shared" si="1"/>
        <v>1.2345679012345605E-2</v>
      </c>
      <c r="G16" s="25" t="str">
        <f t="shared" si="2"/>
        <v>META ATINGIDA</v>
      </c>
      <c r="H16" s="1"/>
      <c r="I16" s="34" t="s">
        <v>111</v>
      </c>
      <c r="J16" s="34"/>
      <c r="K16" s="34"/>
      <c r="L16" s="34"/>
      <c r="M16" s="34"/>
      <c r="N16" s="34"/>
    </row>
    <row r="17" spans="1:14" ht="15">
      <c r="A17" s="20" t="s">
        <v>112</v>
      </c>
      <c r="B17" s="21" t="s">
        <v>110</v>
      </c>
      <c r="C17" s="22">
        <f>SUMIFS(METAS!$I$6:$I$17,METAS!$A$6:$A$17,$B$3)</f>
        <v>75500</v>
      </c>
      <c r="D17" s="22">
        <f>SUMIFS(REALIZADO!$K$6:$K$17,REALIZADO!$A$6:$A$17,$B$3)</f>
        <v>76800</v>
      </c>
      <c r="E17" s="23">
        <f>C17-D17</f>
        <v>-1300</v>
      </c>
      <c r="F17" s="24">
        <f t="shared" si="1"/>
        <v>-1.7218543046357615E-2</v>
      </c>
      <c r="G17" s="25" t="str">
        <f t="shared" si="2"/>
        <v>ABAIXO DA META</v>
      </c>
      <c r="H17" s="1"/>
      <c r="I17" s="7" t="s">
        <v>98</v>
      </c>
      <c r="J17" s="7" t="s">
        <v>113</v>
      </c>
      <c r="K17" s="7" t="s">
        <v>114</v>
      </c>
      <c r="L17" s="7" t="s">
        <v>115</v>
      </c>
      <c r="M17" s="1"/>
      <c r="N17" s="1"/>
    </row>
    <row r="18" spans="1:14" ht="15">
      <c r="A18" s="20" t="s">
        <v>15</v>
      </c>
      <c r="B18" s="21" t="s">
        <v>106</v>
      </c>
      <c r="C18" s="26">
        <f>SUMIFS(METAS!$J$6:$J$17,METAS!$A$6:$A$17,$B$3)</f>
        <v>0.215</v>
      </c>
      <c r="D18" s="26">
        <f>SUMIFS(REALIZADO!$M$6:$M$17,REALIZADO!$A$6:$A$17,$B$3)</f>
        <v>0.20733944954128442</v>
      </c>
      <c r="E18" s="27">
        <f>D18-C18</f>
        <v>-7.6605504587155815E-3</v>
      </c>
      <c r="F18" s="24">
        <f t="shared" si="1"/>
        <v>-3.5630467249839912E-2</v>
      </c>
      <c r="G18" s="25" t="str">
        <f t="shared" si="2"/>
        <v>ABAIXO DA META</v>
      </c>
      <c r="H18" s="1"/>
      <c r="I18" s="1" t="s">
        <v>105</v>
      </c>
      <c r="J18" s="22">
        <f>SUM(METAS!B6:B17)</f>
        <v>1400000</v>
      </c>
      <c r="K18" s="22">
        <f>SUM(REALIZADO!B6:B17)</f>
        <v>1407500</v>
      </c>
      <c r="L18" s="23">
        <f>K18-J18</f>
        <v>7500</v>
      </c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 t="s">
        <v>23</v>
      </c>
      <c r="J19" s="22">
        <f>SUM(METAS!C6:C17)</f>
        <v>213500</v>
      </c>
      <c r="K19" s="22">
        <f>SUM(REALIZADO!C6:C17)</f>
        <v>216400</v>
      </c>
      <c r="L19" s="23">
        <f>K19-J19</f>
        <v>2900</v>
      </c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 t="s">
        <v>116</v>
      </c>
      <c r="J20" s="28">
        <f>SUM(METAS!E6:E17)</f>
        <v>5335</v>
      </c>
      <c r="K20" s="28">
        <f>SUM(REALIZADO!E6:E17)</f>
        <v>5388</v>
      </c>
      <c r="L20" s="29">
        <f>K20-J20</f>
        <v>53</v>
      </c>
      <c r="M20" s="1"/>
      <c r="N20" s="1"/>
    </row>
    <row r="21" spans="1:14">
      <c r="A21" s="1"/>
      <c r="B21" s="1"/>
      <c r="C21" s="1"/>
      <c r="D21" s="1"/>
      <c r="E21" s="1"/>
      <c r="F21" s="1"/>
      <c r="G21" s="1"/>
      <c r="H21" s="1"/>
      <c r="I21" s="1" t="s">
        <v>109</v>
      </c>
      <c r="J21" s="28">
        <f>SUM(METAS!G6:G17)</f>
        <v>974</v>
      </c>
      <c r="K21" s="28">
        <f>SUM(REALIZADO!G6:G17)</f>
        <v>1012</v>
      </c>
      <c r="L21" s="29">
        <f>K21-J21</f>
        <v>38</v>
      </c>
      <c r="M21" s="1"/>
      <c r="N21" s="1"/>
    </row>
    <row r="22" spans="1:14">
      <c r="A22" s="1"/>
      <c r="B22" s="1"/>
      <c r="C22" s="1"/>
      <c r="D22" s="1"/>
      <c r="E22" s="1"/>
      <c r="F22" s="1"/>
      <c r="G22" s="1"/>
      <c r="H22" s="1"/>
      <c r="I22" s="1" t="s">
        <v>112</v>
      </c>
      <c r="J22" s="22">
        <f>SUM(METAS!I6:I17)</f>
        <v>880000</v>
      </c>
      <c r="K22" s="22">
        <f>SUM(REALIZADO!K6:K17)</f>
        <v>897500</v>
      </c>
      <c r="L22" s="23">
        <f>J22-K22</f>
        <v>-17500</v>
      </c>
      <c r="M22" s="1"/>
      <c r="N22" s="1"/>
    </row>
    <row r="23" spans="1:1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</sheetData>
  <mergeCells count="12">
    <mergeCell ref="I9:N9"/>
    <mergeCell ref="I10:N14"/>
    <mergeCell ref="I16:N16"/>
    <mergeCell ref="A1:N2"/>
    <mergeCell ref="A5:C5"/>
    <mergeCell ref="A6:C7"/>
    <mergeCell ref="D5:F5"/>
    <mergeCell ref="D6:F7"/>
    <mergeCell ref="G5:I5"/>
    <mergeCell ref="G6:I7"/>
    <mergeCell ref="J5:L5"/>
    <mergeCell ref="J6:L7"/>
  </mergeCells>
  <conditionalFormatting sqref="G10:G18">
    <cfRule type="expression" dxfId="4" priority="1">
      <formula>G10="META ATINGIDA"</formula>
    </cfRule>
    <cfRule type="expression" dxfId="3" priority="2">
      <formula>G10="ABAIXO DA META"</formula>
    </cfRule>
  </conditionalFormatting>
  <conditionalFormatting sqref="E10:F18">
    <cfRule type="cellIs" dxfId="2" priority="3" operator="lessThan">
      <formula>0</formula>
    </cfRule>
    <cfRule type="cellIs" priority="4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>
          <x14:formula1>
            <xm:f>METAS!$A$6:$A$17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sqref="A1:H2"/>
    </sheetView>
  </sheetViews>
  <sheetFormatPr defaultRowHeight="14.25"/>
  <cols>
    <col min="1" max="1" width="22" customWidth="1"/>
    <col min="2" max="2" width="52" customWidth="1"/>
    <col min="3" max="3" width="16" customWidth="1"/>
    <col min="4" max="4" width="24" customWidth="1"/>
    <col min="5" max="5" width="58" customWidth="1"/>
    <col min="6" max="8" width="14" customWidth="1"/>
  </cols>
  <sheetData>
    <row r="1" spans="1:8" ht="26.1" customHeight="1">
      <c r="A1" s="32" t="s">
        <v>0</v>
      </c>
      <c r="B1" s="32"/>
      <c r="C1" s="32"/>
      <c r="D1" s="32"/>
      <c r="E1" s="32"/>
      <c r="F1" s="32"/>
      <c r="G1" s="32"/>
      <c r="H1" s="32"/>
    </row>
    <row r="2" spans="1:8" ht="26.1" customHeight="1">
      <c r="A2" s="32"/>
      <c r="B2" s="32"/>
      <c r="C2" s="32"/>
      <c r="D2" s="32"/>
      <c r="E2" s="32"/>
      <c r="F2" s="32"/>
      <c r="G2" s="32"/>
      <c r="H2" s="32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33" t="s">
        <v>1</v>
      </c>
      <c r="B4" s="33"/>
      <c r="C4" s="33"/>
      <c r="D4" s="33"/>
      <c r="E4" s="33"/>
      <c r="F4" s="33"/>
      <c r="G4" s="33"/>
      <c r="H4" s="33"/>
    </row>
    <row r="5" spans="1:8">
      <c r="A5" s="1"/>
      <c r="B5" s="1"/>
      <c r="C5" s="1"/>
      <c r="D5" s="1"/>
      <c r="E5" s="1"/>
      <c r="F5" s="1"/>
      <c r="G5" s="1"/>
      <c r="H5" s="1"/>
    </row>
    <row r="6" spans="1:8" ht="15">
      <c r="A6" s="2" t="s">
        <v>2</v>
      </c>
      <c r="B6" s="3">
        <v>2026</v>
      </c>
      <c r="C6" s="1"/>
      <c r="D6" s="34" t="s">
        <v>3</v>
      </c>
      <c r="E6" s="34"/>
      <c r="F6" s="34"/>
      <c r="G6" s="34"/>
      <c r="H6" s="34"/>
    </row>
    <row r="7" spans="1:8" ht="15">
      <c r="A7" s="2" t="s">
        <v>4</v>
      </c>
      <c r="B7" s="4" t="s">
        <v>5</v>
      </c>
      <c r="C7" s="1"/>
      <c r="D7" s="2" t="s">
        <v>6</v>
      </c>
      <c r="E7" s="5" t="s">
        <v>7</v>
      </c>
      <c r="F7" s="1"/>
      <c r="G7" s="1"/>
      <c r="H7" s="1"/>
    </row>
    <row r="8" spans="1:8" ht="15">
      <c r="A8" s="2" t="s">
        <v>8</v>
      </c>
      <c r="B8" s="1" t="s">
        <v>9</v>
      </c>
      <c r="C8" s="1"/>
      <c r="D8" s="2" t="s">
        <v>10</v>
      </c>
      <c r="E8" s="5" t="s">
        <v>11</v>
      </c>
      <c r="F8" s="1"/>
      <c r="G8" s="1"/>
      <c r="H8" s="1"/>
    </row>
    <row r="9" spans="1:8" ht="15">
      <c r="A9" s="1"/>
      <c r="B9" s="1"/>
      <c r="C9" s="1"/>
      <c r="D9" s="2" t="s">
        <v>12</v>
      </c>
      <c r="E9" s="5" t="s">
        <v>13</v>
      </c>
      <c r="F9" s="1"/>
      <c r="G9" s="1"/>
      <c r="H9" s="1"/>
    </row>
    <row r="10" spans="1:8" ht="15">
      <c r="A10" s="34" t="s">
        <v>14</v>
      </c>
      <c r="B10" s="34"/>
      <c r="C10" s="34"/>
      <c r="D10" s="35" t="s">
        <v>15</v>
      </c>
      <c r="E10" s="36" t="s">
        <v>16</v>
      </c>
      <c r="F10" s="34"/>
      <c r="G10" s="34"/>
      <c r="H10" s="34"/>
    </row>
    <row r="11" spans="1:8" ht="29.25">
      <c r="A11" s="6" t="s">
        <v>17</v>
      </c>
      <c r="B11" s="5" t="s">
        <v>18</v>
      </c>
      <c r="C11" s="1"/>
      <c r="D11" s="2" t="s">
        <v>19</v>
      </c>
      <c r="E11" s="5" t="s">
        <v>20</v>
      </c>
      <c r="F11" s="1"/>
      <c r="G11" s="1"/>
      <c r="H11" s="1"/>
    </row>
    <row r="12" spans="1:8" ht="29.25">
      <c r="A12" s="6" t="s">
        <v>21</v>
      </c>
      <c r="B12" s="5" t="s">
        <v>22</v>
      </c>
      <c r="C12" s="1"/>
      <c r="D12" s="2" t="s">
        <v>23</v>
      </c>
      <c r="E12" s="5" t="s">
        <v>24</v>
      </c>
      <c r="F12" s="1"/>
      <c r="G12" s="1"/>
      <c r="H12" s="1"/>
    </row>
    <row r="13" spans="1:8" ht="29.25">
      <c r="A13" s="6" t="s">
        <v>25</v>
      </c>
      <c r="B13" s="5" t="s">
        <v>26</v>
      </c>
      <c r="C13" s="1"/>
      <c r="D13" s="1"/>
      <c r="E13" s="1"/>
      <c r="F13" s="1"/>
      <c r="G13" s="1"/>
      <c r="H13" s="1"/>
    </row>
    <row r="14" spans="1:8" ht="29.25">
      <c r="A14" s="6" t="s">
        <v>27</v>
      </c>
      <c r="B14" s="5" t="s">
        <v>28</v>
      </c>
      <c r="C14" s="1"/>
      <c r="D14" s="1"/>
      <c r="E14" s="1"/>
      <c r="F14" s="1"/>
      <c r="G14" s="1"/>
      <c r="H14" s="1"/>
    </row>
    <row r="15" spans="1:8" ht="29.25">
      <c r="A15" s="6" t="s">
        <v>29</v>
      </c>
      <c r="B15" s="5" t="s">
        <v>30</v>
      </c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 ht="15">
      <c r="A17" s="34" t="s">
        <v>31</v>
      </c>
      <c r="B17" s="34"/>
      <c r="C17" s="34"/>
      <c r="D17" s="34"/>
      <c r="E17" s="34"/>
      <c r="F17" s="34"/>
      <c r="G17" s="34"/>
      <c r="H17" s="34"/>
    </row>
    <row r="18" spans="1:8" ht="15">
      <c r="A18" s="7" t="s">
        <v>32</v>
      </c>
      <c r="B18" s="7" t="s">
        <v>33</v>
      </c>
      <c r="C18" s="7" t="s">
        <v>32</v>
      </c>
      <c r="D18" s="7" t="s">
        <v>33</v>
      </c>
      <c r="E18" s="1"/>
      <c r="F18" s="1"/>
      <c r="G18" s="1"/>
      <c r="H18" s="1"/>
    </row>
    <row r="19" spans="1:8" ht="15">
      <c r="A19" s="8" t="s">
        <v>34</v>
      </c>
      <c r="B19" s="1" t="s">
        <v>35</v>
      </c>
      <c r="C19" s="9" t="s">
        <v>36</v>
      </c>
      <c r="D19" s="1" t="s">
        <v>37</v>
      </c>
      <c r="E19" s="1"/>
      <c r="F19" s="1"/>
      <c r="G19" s="1"/>
      <c r="H19" s="1"/>
    </row>
    <row r="20" spans="1:8" ht="15">
      <c r="A20" s="10" t="s">
        <v>38</v>
      </c>
      <c r="B20" s="1" t="s">
        <v>39</v>
      </c>
      <c r="C20" s="11" t="s">
        <v>40</v>
      </c>
      <c r="D20" s="1" t="s">
        <v>41</v>
      </c>
      <c r="E20" s="1"/>
      <c r="F20" s="1"/>
      <c r="G20" s="1"/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 ht="15">
      <c r="A22" s="34" t="s">
        <v>42</v>
      </c>
      <c r="B22" s="34"/>
      <c r="C22" s="34"/>
      <c r="D22" s="34"/>
      <c r="E22" s="34"/>
      <c r="F22" s="34"/>
      <c r="G22" s="34"/>
      <c r="H22" s="34"/>
    </row>
    <row r="23" spans="1:8" ht="15">
      <c r="A23" s="2" t="s">
        <v>43</v>
      </c>
      <c r="B23" s="5" t="s">
        <v>44</v>
      </c>
      <c r="C23" s="1"/>
      <c r="D23" s="1"/>
      <c r="E23" s="1"/>
      <c r="F23" s="1"/>
      <c r="G23" s="1"/>
      <c r="H23" s="1"/>
    </row>
    <row r="24" spans="1:8" ht="28.5">
      <c r="A24" s="2" t="s">
        <v>45</v>
      </c>
      <c r="B24" s="5" t="s">
        <v>46</v>
      </c>
      <c r="C24" s="1"/>
      <c r="D24" s="1"/>
      <c r="E24" s="1"/>
      <c r="F24" s="1"/>
      <c r="G24" s="1"/>
      <c r="H24" s="1"/>
    </row>
    <row r="25" spans="1:8" ht="28.5">
      <c r="A25" s="2" t="s">
        <v>47</v>
      </c>
      <c r="B25" s="5" t="s">
        <v>48</v>
      </c>
      <c r="C25" s="1"/>
      <c r="D25" s="1"/>
      <c r="E25" s="1"/>
      <c r="F25" s="1"/>
      <c r="G25" s="1"/>
      <c r="H25" s="1"/>
    </row>
    <row r="26" spans="1:8" ht="28.5">
      <c r="A26" s="2" t="s">
        <v>49</v>
      </c>
      <c r="B26" s="5" t="s">
        <v>50</v>
      </c>
      <c r="C26" s="1"/>
      <c r="D26" s="1"/>
      <c r="E26" s="1"/>
      <c r="F26" s="1"/>
      <c r="G26" s="1"/>
      <c r="H26" s="1"/>
    </row>
    <row r="27" spans="1:8" ht="28.5">
      <c r="A27" s="2" t="s">
        <v>51</v>
      </c>
      <c r="B27" s="5" t="s">
        <v>52</v>
      </c>
      <c r="C27" s="1"/>
      <c r="D27" s="1"/>
      <c r="E27" s="1"/>
      <c r="F27" s="1"/>
      <c r="G27" s="1"/>
      <c r="H27" s="1"/>
    </row>
    <row r="28" spans="1:8" ht="28.5">
      <c r="A28" s="2" t="s">
        <v>53</v>
      </c>
      <c r="B28" s="5" t="s">
        <v>54</v>
      </c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37" t="s">
        <v>55</v>
      </c>
      <c r="B30" s="37"/>
      <c r="C30" s="37"/>
      <c r="D30" s="37"/>
      <c r="E30" s="37"/>
      <c r="F30" s="37"/>
      <c r="G30" s="37"/>
      <c r="H30" s="37"/>
    </row>
    <row r="31" spans="1:8">
      <c r="A31" s="37"/>
      <c r="B31" s="37"/>
      <c r="C31" s="37"/>
      <c r="D31" s="37"/>
      <c r="E31" s="37"/>
      <c r="F31" s="37"/>
      <c r="G31" s="37"/>
      <c r="H31" s="37"/>
    </row>
  </sheetData>
  <mergeCells count="7">
    <mergeCell ref="A22:H22"/>
    <mergeCell ref="A30:H31"/>
    <mergeCell ref="A1:H2"/>
    <mergeCell ref="A4:H4"/>
    <mergeCell ref="A10:H10"/>
    <mergeCell ref="D6:H6"/>
    <mergeCell ref="A17:H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sqref="A1:J2"/>
    </sheetView>
  </sheetViews>
  <sheetFormatPr defaultRowHeight="14.25"/>
  <cols>
    <col min="1" max="1" width="14" customWidth="1"/>
    <col min="2" max="2" width="19" customWidth="1"/>
    <col min="3" max="3" width="17" customWidth="1"/>
    <col min="4" max="5" width="15" customWidth="1"/>
    <col min="6" max="6" width="20" customWidth="1"/>
    <col min="7" max="7" width="18" customWidth="1"/>
    <col min="8" max="8" width="20" customWidth="1"/>
    <col min="9" max="9" width="18" customWidth="1"/>
    <col min="10" max="10" width="19" customWidth="1"/>
  </cols>
  <sheetData>
    <row r="1" spans="1:10">
      <c r="A1" s="38" t="s">
        <v>56</v>
      </c>
      <c r="B1" s="38"/>
      <c r="C1" s="38"/>
      <c r="D1" s="38"/>
      <c r="E1" s="38"/>
      <c r="F1" s="38"/>
      <c r="G1" s="38"/>
      <c r="H1" s="38"/>
      <c r="I1" s="38"/>
      <c r="J1" s="38"/>
    </row>
    <row r="2" spans="1:10">
      <c r="A2" s="38"/>
      <c r="B2" s="38"/>
      <c r="C2" s="38"/>
      <c r="D2" s="38"/>
      <c r="E2" s="38"/>
      <c r="F2" s="38"/>
      <c r="G2" s="38"/>
      <c r="H2" s="38"/>
      <c r="I2" s="38"/>
      <c r="J2" s="38"/>
    </row>
    <row r="3" spans="1:10">
      <c r="A3" s="33" t="s">
        <v>57</v>
      </c>
      <c r="B3" s="33"/>
      <c r="C3" s="33"/>
      <c r="D3" s="33"/>
      <c r="E3" s="33"/>
      <c r="F3" s="33"/>
      <c r="G3" s="33"/>
      <c r="H3" s="33"/>
      <c r="I3" s="33"/>
      <c r="J3" s="33"/>
    </row>
    <row r="4" spans="1:10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30">
      <c r="A5" s="7" t="s">
        <v>58</v>
      </c>
      <c r="B5" s="7" t="s">
        <v>59</v>
      </c>
      <c r="C5" s="7" t="s">
        <v>60</v>
      </c>
      <c r="D5" s="7" t="s">
        <v>61</v>
      </c>
      <c r="E5" s="7" t="s">
        <v>62</v>
      </c>
      <c r="F5" s="7" t="s">
        <v>63</v>
      </c>
      <c r="G5" s="7" t="s">
        <v>64</v>
      </c>
      <c r="H5" s="7" t="s">
        <v>65</v>
      </c>
      <c r="I5" s="7" t="s">
        <v>66</v>
      </c>
      <c r="J5" s="7" t="s">
        <v>67</v>
      </c>
    </row>
    <row r="6" spans="1:10">
      <c r="A6" s="12">
        <f>DATE(INICIO!$B$6,1,1)</f>
        <v>46023</v>
      </c>
      <c r="B6" s="13">
        <v>100000</v>
      </c>
      <c r="C6" s="13">
        <v>15000</v>
      </c>
      <c r="D6" s="14">
        <f t="shared" ref="D6:D17" si="0">IF(B6=0,"",C6/B6)</f>
        <v>0.15</v>
      </c>
      <c r="E6" s="15">
        <v>400</v>
      </c>
      <c r="F6" s="16">
        <f t="shared" ref="F6:F17" si="1">IF(E6=0,"",B6/E6)</f>
        <v>250</v>
      </c>
      <c r="G6" s="15">
        <v>70</v>
      </c>
      <c r="H6" s="17">
        <v>0.05</v>
      </c>
      <c r="I6" s="13">
        <v>65000</v>
      </c>
      <c r="J6" s="17">
        <v>0.2</v>
      </c>
    </row>
    <row r="7" spans="1:10">
      <c r="A7" s="12">
        <f>DATE(INICIO!$B$6,2,1)</f>
        <v>46054</v>
      </c>
      <c r="B7" s="13">
        <v>103000</v>
      </c>
      <c r="C7" s="13">
        <v>15500</v>
      </c>
      <c r="D7" s="14">
        <f t="shared" si="0"/>
        <v>0.15048543689320387</v>
      </c>
      <c r="E7" s="15">
        <v>408</v>
      </c>
      <c r="F7" s="16">
        <f t="shared" si="1"/>
        <v>252.45098039215685</v>
      </c>
      <c r="G7" s="15">
        <v>72</v>
      </c>
      <c r="H7" s="17">
        <v>0.05</v>
      </c>
      <c r="I7" s="13">
        <v>66500</v>
      </c>
      <c r="J7" s="17">
        <v>0.2</v>
      </c>
    </row>
    <row r="8" spans="1:10">
      <c r="A8" s="12">
        <f>DATE(INICIO!$B$6,3,1)</f>
        <v>46082</v>
      </c>
      <c r="B8" s="13">
        <v>106000</v>
      </c>
      <c r="C8" s="13">
        <v>16000</v>
      </c>
      <c r="D8" s="14">
        <f t="shared" si="0"/>
        <v>0.15094339622641509</v>
      </c>
      <c r="E8" s="15">
        <v>416</v>
      </c>
      <c r="F8" s="16">
        <f t="shared" si="1"/>
        <v>254.80769230769232</v>
      </c>
      <c r="G8" s="15">
        <v>74</v>
      </c>
      <c r="H8" s="17">
        <v>4.8000000000000001E-2</v>
      </c>
      <c r="I8" s="13">
        <v>68000</v>
      </c>
      <c r="J8" s="17">
        <v>0.20499999999999999</v>
      </c>
    </row>
    <row r="9" spans="1:10">
      <c r="A9" s="12">
        <f>DATE(INICIO!$B$6,4,1)</f>
        <v>46113</v>
      </c>
      <c r="B9" s="13">
        <v>109000</v>
      </c>
      <c r="C9" s="13">
        <v>16500</v>
      </c>
      <c r="D9" s="14">
        <f t="shared" si="0"/>
        <v>0.15137614678899083</v>
      </c>
      <c r="E9" s="15">
        <v>424</v>
      </c>
      <c r="F9" s="16">
        <f t="shared" si="1"/>
        <v>257.07547169811323</v>
      </c>
      <c r="G9" s="15">
        <v>76</v>
      </c>
      <c r="H9" s="17">
        <v>4.8000000000000001E-2</v>
      </c>
      <c r="I9" s="13">
        <v>69500</v>
      </c>
      <c r="J9" s="17">
        <v>0.20499999999999999</v>
      </c>
    </row>
    <row r="10" spans="1:10">
      <c r="A10" s="12">
        <f>DATE(INICIO!$B$6,5,1)</f>
        <v>46143</v>
      </c>
      <c r="B10" s="13">
        <v>112000</v>
      </c>
      <c r="C10" s="13">
        <v>17000</v>
      </c>
      <c r="D10" s="14">
        <f t="shared" si="0"/>
        <v>0.15178571428571427</v>
      </c>
      <c r="E10" s="15">
        <v>432</v>
      </c>
      <c r="F10" s="16">
        <f t="shared" si="1"/>
        <v>259.25925925925924</v>
      </c>
      <c r="G10" s="15">
        <v>78</v>
      </c>
      <c r="H10" s="17">
        <v>4.7E-2</v>
      </c>
      <c r="I10" s="13">
        <v>71000</v>
      </c>
      <c r="J10" s="17">
        <v>0.21</v>
      </c>
    </row>
    <row r="11" spans="1:10">
      <c r="A11" s="12">
        <f>DATE(INICIO!$B$6,6,1)</f>
        <v>46174</v>
      </c>
      <c r="B11" s="13">
        <v>115000</v>
      </c>
      <c r="C11" s="13">
        <v>17500</v>
      </c>
      <c r="D11" s="14">
        <f t="shared" si="0"/>
        <v>0.15217391304347827</v>
      </c>
      <c r="E11" s="15">
        <v>440</v>
      </c>
      <c r="F11" s="16">
        <f t="shared" si="1"/>
        <v>261.36363636363637</v>
      </c>
      <c r="G11" s="15">
        <v>80</v>
      </c>
      <c r="H11" s="17">
        <v>4.7E-2</v>
      </c>
      <c r="I11" s="13">
        <v>72500</v>
      </c>
      <c r="J11" s="17">
        <v>0.21</v>
      </c>
    </row>
    <row r="12" spans="1:10">
      <c r="A12" s="12">
        <f>DATE(INICIO!$B$6,7,1)</f>
        <v>46204</v>
      </c>
      <c r="B12" s="13">
        <v>118000</v>
      </c>
      <c r="C12" s="13">
        <v>18000</v>
      </c>
      <c r="D12" s="14">
        <f t="shared" si="0"/>
        <v>0.15254237288135594</v>
      </c>
      <c r="E12" s="15">
        <v>448</v>
      </c>
      <c r="F12" s="16">
        <f t="shared" si="1"/>
        <v>263.39285714285717</v>
      </c>
      <c r="G12" s="15">
        <v>82</v>
      </c>
      <c r="H12" s="17">
        <v>4.4999999999999998E-2</v>
      </c>
      <c r="I12" s="13">
        <v>74000</v>
      </c>
      <c r="J12" s="17">
        <v>0.215</v>
      </c>
    </row>
    <row r="13" spans="1:10">
      <c r="A13" s="12">
        <f>DATE(INICIO!$B$6,8,1)</f>
        <v>46235</v>
      </c>
      <c r="B13" s="13">
        <v>121000</v>
      </c>
      <c r="C13" s="13">
        <v>18500</v>
      </c>
      <c r="D13" s="14">
        <f t="shared" si="0"/>
        <v>0.15289256198347106</v>
      </c>
      <c r="E13" s="15">
        <v>456</v>
      </c>
      <c r="F13" s="16">
        <f t="shared" si="1"/>
        <v>265.35087719298247</v>
      </c>
      <c r="G13" s="15">
        <v>84</v>
      </c>
      <c r="H13" s="17">
        <v>4.4999999999999998E-2</v>
      </c>
      <c r="I13" s="13">
        <v>75500</v>
      </c>
      <c r="J13" s="17">
        <v>0.215</v>
      </c>
    </row>
    <row r="14" spans="1:10">
      <c r="A14" s="12">
        <f>DATE(INICIO!$B$6,9,1)</f>
        <v>46266</v>
      </c>
      <c r="B14" s="13">
        <v>124000</v>
      </c>
      <c r="C14" s="13">
        <v>19000</v>
      </c>
      <c r="D14" s="14">
        <f t="shared" si="0"/>
        <v>0.15322580645161291</v>
      </c>
      <c r="E14" s="15">
        <v>464</v>
      </c>
      <c r="F14" s="16">
        <f t="shared" si="1"/>
        <v>267.24137931034483</v>
      </c>
      <c r="G14" s="15">
        <v>86</v>
      </c>
      <c r="H14" s="17">
        <v>4.3999999999999997E-2</v>
      </c>
      <c r="I14" s="13">
        <v>77000</v>
      </c>
      <c r="J14" s="17">
        <v>0.22</v>
      </c>
    </row>
    <row r="15" spans="1:10">
      <c r="A15" s="12">
        <f>DATE(INICIO!$B$6,10,1)</f>
        <v>46296</v>
      </c>
      <c r="B15" s="13">
        <v>127000</v>
      </c>
      <c r="C15" s="13">
        <v>19500</v>
      </c>
      <c r="D15" s="14">
        <f t="shared" si="0"/>
        <v>0.15354330708661418</v>
      </c>
      <c r="E15" s="15">
        <v>472</v>
      </c>
      <c r="F15" s="16">
        <f t="shared" si="1"/>
        <v>269.06779661016947</v>
      </c>
      <c r="G15" s="15">
        <v>88</v>
      </c>
      <c r="H15" s="17">
        <v>4.3999999999999997E-2</v>
      </c>
      <c r="I15" s="13">
        <v>78500</v>
      </c>
      <c r="J15" s="17">
        <v>0.22</v>
      </c>
    </row>
    <row r="16" spans="1:10">
      <c r="A16" s="12">
        <f>DATE(INICIO!$B$6,11,1)</f>
        <v>46327</v>
      </c>
      <c r="B16" s="13">
        <v>130000</v>
      </c>
      <c r="C16" s="13">
        <v>20000</v>
      </c>
      <c r="D16" s="14">
        <f t="shared" si="0"/>
        <v>0.15384615384615385</v>
      </c>
      <c r="E16" s="15">
        <v>480</v>
      </c>
      <c r="F16" s="16">
        <f t="shared" si="1"/>
        <v>270.83333333333331</v>
      </c>
      <c r="G16" s="15">
        <v>90</v>
      </c>
      <c r="H16" s="17">
        <v>4.2999999999999997E-2</v>
      </c>
      <c r="I16" s="13">
        <v>80000</v>
      </c>
      <c r="J16" s="17">
        <v>0.22500000000000001</v>
      </c>
    </row>
    <row r="17" spans="1:10">
      <c r="A17" s="12">
        <f>DATE(INICIO!$B$6,12,1)</f>
        <v>46357</v>
      </c>
      <c r="B17" s="13">
        <v>135000</v>
      </c>
      <c r="C17" s="13">
        <v>21000</v>
      </c>
      <c r="D17" s="14">
        <f t="shared" si="0"/>
        <v>0.15555555555555556</v>
      </c>
      <c r="E17" s="15">
        <v>495</v>
      </c>
      <c r="F17" s="16">
        <f t="shared" si="1"/>
        <v>272.72727272727275</v>
      </c>
      <c r="G17" s="15">
        <v>94</v>
      </c>
      <c r="H17" s="17">
        <v>4.2000000000000003E-2</v>
      </c>
      <c r="I17" s="13">
        <v>82500</v>
      </c>
      <c r="J17" s="17">
        <v>0.23</v>
      </c>
    </row>
    <row r="18" spans="1:10">
      <c r="A18" s="1"/>
      <c r="B18" s="1"/>
      <c r="C18" s="1"/>
      <c r="D18" s="1"/>
      <c r="E18" s="1"/>
      <c r="F18" s="1"/>
      <c r="G18" s="1"/>
      <c r="H18" s="1"/>
      <c r="I18" s="1"/>
      <c r="J18" s="1"/>
    </row>
  </sheetData>
  <mergeCells count="2">
    <mergeCell ref="A1:J2"/>
    <mergeCell ref="A3:J3"/>
  </mergeCells>
  <dataValidations count="6">
    <dataValidation type="decimal" sqref="B6:C17">
      <formula1>0</formula1>
    </dataValidation>
    <dataValidation type="decimal" sqref="I6:I17">
      <formula1>0</formula1>
    </dataValidation>
    <dataValidation sqref="E6:E17">
      <formula1>0</formula1>
    </dataValidation>
    <dataValidation sqref="G6:G17">
      <formula1>0</formula1>
    </dataValidation>
    <dataValidation type="decimal" sqref="H6:H17">
      <formula1>0</formula1>
      <formula2>1</formula2>
    </dataValidation>
    <dataValidation type="decimal" sqref="J6:J17">
      <formula1>0</formula1>
      <formula2>1</formula2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sqref="A1:N2"/>
    </sheetView>
  </sheetViews>
  <sheetFormatPr defaultRowHeight="14.25"/>
  <cols>
    <col min="1" max="1" width="14" customWidth="1"/>
    <col min="2" max="2" width="21" customWidth="1"/>
    <col min="3" max="3" width="19" customWidth="1"/>
    <col min="4" max="4" width="18" customWidth="1"/>
    <col min="5" max="5" width="12" customWidth="1"/>
    <col min="6" max="6" width="18" customWidth="1"/>
    <col min="7" max="7" width="15" customWidth="1"/>
    <col min="8" max="8" width="18" customWidth="1"/>
    <col min="9" max="9" width="22" customWidth="1"/>
    <col min="10" max="10" width="17" customWidth="1"/>
    <col min="11" max="11" width="16" customWidth="1"/>
    <col min="12" max="12" width="20" customWidth="1"/>
    <col min="13" max="13" width="16" customWidth="1"/>
    <col min="14" max="14" width="30" customWidth="1"/>
  </cols>
  <sheetData>
    <row r="1" spans="1:14">
      <c r="A1" s="38" t="s">
        <v>68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>
      <c r="A3" s="33" t="s">
        <v>69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30">
      <c r="A5" s="7" t="s">
        <v>58</v>
      </c>
      <c r="B5" s="7" t="s">
        <v>70</v>
      </c>
      <c r="C5" s="7" t="s">
        <v>71</v>
      </c>
      <c r="D5" s="7" t="s">
        <v>72</v>
      </c>
      <c r="E5" s="7" t="s">
        <v>73</v>
      </c>
      <c r="F5" s="7" t="s">
        <v>74</v>
      </c>
      <c r="G5" s="7" t="s">
        <v>75</v>
      </c>
      <c r="H5" s="7" t="s">
        <v>76</v>
      </c>
      <c r="I5" s="7" t="s">
        <v>77</v>
      </c>
      <c r="J5" s="7" t="s">
        <v>78</v>
      </c>
      <c r="K5" s="7" t="s">
        <v>79</v>
      </c>
      <c r="L5" s="7" t="s">
        <v>80</v>
      </c>
      <c r="M5" s="7" t="s">
        <v>81</v>
      </c>
      <c r="N5" s="7" t="s">
        <v>82</v>
      </c>
    </row>
    <row r="6" spans="1:14">
      <c r="A6" s="12">
        <f>METAS!A6</f>
        <v>46023</v>
      </c>
      <c r="B6" s="13">
        <v>98000</v>
      </c>
      <c r="C6" s="13">
        <v>14200</v>
      </c>
      <c r="D6" s="14">
        <f t="shared" ref="D6:D17" si="0">IF(B6=0,"",C6/B6)</f>
        <v>0.14489795918367346</v>
      </c>
      <c r="E6" s="15">
        <v>390</v>
      </c>
      <c r="F6" s="16">
        <f t="shared" ref="F6:F17" si="1">IF(E6=0,"",B6/E6)</f>
        <v>251.28205128205127</v>
      </c>
      <c r="G6" s="15">
        <v>66</v>
      </c>
      <c r="H6" s="13">
        <v>6200</v>
      </c>
      <c r="I6" s="13">
        <v>108000</v>
      </c>
      <c r="J6" s="14">
        <f t="shared" ref="J6:J17" si="2">IF(I6=0,"",H6/I6)</f>
        <v>5.7407407407407407E-2</v>
      </c>
      <c r="K6" s="13">
        <v>66800</v>
      </c>
      <c r="L6" s="15">
        <v>1940</v>
      </c>
      <c r="M6" s="14">
        <f t="shared" ref="M6:M17" si="3">IF(L6=0,"",E6/L6)</f>
        <v>0.20103092783505155</v>
      </c>
      <c r="N6" s="18" t="s">
        <v>83</v>
      </c>
    </row>
    <row r="7" spans="1:14">
      <c r="A7" s="12">
        <f>METAS!A7</f>
        <v>46054</v>
      </c>
      <c r="B7" s="13">
        <v>105500</v>
      </c>
      <c r="C7" s="13">
        <v>16200</v>
      </c>
      <c r="D7" s="14">
        <f t="shared" si="0"/>
        <v>0.15355450236966825</v>
      </c>
      <c r="E7" s="15">
        <v>421</v>
      </c>
      <c r="F7" s="16">
        <f t="shared" si="1"/>
        <v>250.5938242280285</v>
      </c>
      <c r="G7" s="15">
        <v>76</v>
      </c>
      <c r="H7" s="13">
        <v>5000</v>
      </c>
      <c r="I7" s="13">
        <v>111000</v>
      </c>
      <c r="J7" s="14">
        <f t="shared" si="2"/>
        <v>4.5045045045045043E-2</v>
      </c>
      <c r="K7" s="13">
        <v>67200</v>
      </c>
      <c r="L7" s="15">
        <v>2050</v>
      </c>
      <c r="M7" s="14">
        <f t="shared" si="3"/>
        <v>0.20536585365853657</v>
      </c>
      <c r="N7" s="18" t="s">
        <v>84</v>
      </c>
    </row>
    <row r="8" spans="1:14">
      <c r="A8" s="12">
        <f>METAS!A8</f>
        <v>46082</v>
      </c>
      <c r="B8" s="13">
        <v>101000</v>
      </c>
      <c r="C8" s="13">
        <v>14800</v>
      </c>
      <c r="D8" s="14">
        <f t="shared" si="0"/>
        <v>0.14653465346534653</v>
      </c>
      <c r="E8" s="15">
        <v>405</v>
      </c>
      <c r="F8" s="16">
        <f t="shared" si="1"/>
        <v>249.38271604938271</v>
      </c>
      <c r="G8" s="15">
        <v>70</v>
      </c>
      <c r="H8" s="13">
        <v>5800</v>
      </c>
      <c r="I8" s="13">
        <v>109500</v>
      </c>
      <c r="J8" s="14">
        <f t="shared" si="2"/>
        <v>5.2968036529680365E-2</v>
      </c>
      <c r="K8" s="13">
        <v>70100</v>
      </c>
      <c r="L8" s="15">
        <v>1990</v>
      </c>
      <c r="M8" s="14">
        <f t="shared" si="3"/>
        <v>0.20351758793969849</v>
      </c>
      <c r="N8" s="18" t="s">
        <v>85</v>
      </c>
    </row>
    <row r="9" spans="1:14">
      <c r="A9" s="12">
        <f>METAS!A9</f>
        <v>46113</v>
      </c>
      <c r="B9" s="13">
        <v>112500</v>
      </c>
      <c r="C9" s="13">
        <v>17600</v>
      </c>
      <c r="D9" s="14">
        <f t="shared" si="0"/>
        <v>0.15644444444444444</v>
      </c>
      <c r="E9" s="15">
        <v>438</v>
      </c>
      <c r="F9" s="16">
        <f t="shared" si="1"/>
        <v>256.84931506849313</v>
      </c>
      <c r="G9" s="15">
        <v>82</v>
      </c>
      <c r="H9" s="13">
        <v>4900</v>
      </c>
      <c r="I9" s="13">
        <v>116000</v>
      </c>
      <c r="J9" s="14">
        <f t="shared" si="2"/>
        <v>4.2241379310344829E-2</v>
      </c>
      <c r="K9" s="13">
        <v>70800</v>
      </c>
      <c r="L9" s="15">
        <v>2080</v>
      </c>
      <c r="M9" s="14">
        <f t="shared" si="3"/>
        <v>0.21057692307692308</v>
      </c>
      <c r="N9" s="18" t="s">
        <v>86</v>
      </c>
    </row>
    <row r="10" spans="1:14">
      <c r="A10" s="12">
        <f>METAS!A10</f>
        <v>46143</v>
      </c>
      <c r="B10" s="13">
        <v>114000</v>
      </c>
      <c r="C10" s="13">
        <v>18000</v>
      </c>
      <c r="D10" s="14">
        <f t="shared" si="0"/>
        <v>0.15789473684210525</v>
      </c>
      <c r="E10" s="15">
        <v>447</v>
      </c>
      <c r="F10" s="16">
        <f t="shared" si="1"/>
        <v>255.03355704697987</v>
      </c>
      <c r="G10" s="15">
        <v>84</v>
      </c>
      <c r="H10" s="13">
        <v>4700</v>
      </c>
      <c r="I10" s="13">
        <v>119000</v>
      </c>
      <c r="J10" s="14">
        <f t="shared" si="2"/>
        <v>3.949579831932773E-2</v>
      </c>
      <c r="K10" s="13">
        <v>72000</v>
      </c>
      <c r="L10" s="15">
        <v>2100</v>
      </c>
      <c r="M10" s="14">
        <f t="shared" si="3"/>
        <v>0.21285714285714286</v>
      </c>
      <c r="N10" s="18" t="s">
        <v>87</v>
      </c>
    </row>
    <row r="11" spans="1:14">
      <c r="A11" s="12">
        <f>METAS!A11</f>
        <v>46174</v>
      </c>
      <c r="B11" s="13">
        <v>111500</v>
      </c>
      <c r="C11" s="13">
        <v>16400</v>
      </c>
      <c r="D11" s="14">
        <f t="shared" si="0"/>
        <v>0.14708520179372198</v>
      </c>
      <c r="E11" s="15">
        <v>430</v>
      </c>
      <c r="F11" s="16">
        <f t="shared" si="1"/>
        <v>259.30232558139534</v>
      </c>
      <c r="G11" s="15">
        <v>78</v>
      </c>
      <c r="H11" s="13">
        <v>5900</v>
      </c>
      <c r="I11" s="13">
        <v>120000</v>
      </c>
      <c r="J11" s="14">
        <f t="shared" si="2"/>
        <v>4.9166666666666664E-2</v>
      </c>
      <c r="K11" s="13">
        <v>74600</v>
      </c>
      <c r="L11" s="15">
        <v>2130</v>
      </c>
      <c r="M11" s="14">
        <f t="shared" si="3"/>
        <v>0.20187793427230047</v>
      </c>
      <c r="N11" s="18" t="s">
        <v>88</v>
      </c>
    </row>
    <row r="12" spans="1:14">
      <c r="A12" s="12">
        <f>METAS!A12</f>
        <v>46204</v>
      </c>
      <c r="B12" s="13">
        <v>121500</v>
      </c>
      <c r="C12" s="13">
        <v>19000</v>
      </c>
      <c r="D12" s="14">
        <f t="shared" si="0"/>
        <v>0.15637860082304528</v>
      </c>
      <c r="E12" s="15">
        <v>462</v>
      </c>
      <c r="F12" s="16">
        <f t="shared" si="1"/>
        <v>262.98701298701297</v>
      </c>
      <c r="G12" s="15">
        <v>90</v>
      </c>
      <c r="H12" s="13">
        <v>5100</v>
      </c>
      <c r="I12" s="13">
        <v>125000</v>
      </c>
      <c r="J12" s="14">
        <f t="shared" si="2"/>
        <v>4.0800000000000003E-2</v>
      </c>
      <c r="K12" s="13">
        <v>75200</v>
      </c>
      <c r="L12" s="15">
        <v>2150</v>
      </c>
      <c r="M12" s="14">
        <f t="shared" si="3"/>
        <v>0.21488372093023256</v>
      </c>
      <c r="N12" s="18" t="s">
        <v>89</v>
      </c>
    </row>
    <row r="13" spans="1:14">
      <c r="A13" s="12">
        <f>METAS!A13</f>
        <v>46235</v>
      </c>
      <c r="B13" s="13">
        <v>119000</v>
      </c>
      <c r="C13" s="13">
        <v>18300</v>
      </c>
      <c r="D13" s="14">
        <f t="shared" si="0"/>
        <v>0.15378151260504203</v>
      </c>
      <c r="E13" s="15">
        <v>452</v>
      </c>
      <c r="F13" s="16">
        <f t="shared" si="1"/>
        <v>263.27433628318585</v>
      </c>
      <c r="G13" s="15">
        <v>86</v>
      </c>
      <c r="H13" s="13">
        <v>5600</v>
      </c>
      <c r="I13" s="13">
        <v>126000</v>
      </c>
      <c r="J13" s="14">
        <f t="shared" si="2"/>
        <v>4.4444444444444446E-2</v>
      </c>
      <c r="K13" s="13">
        <v>76800</v>
      </c>
      <c r="L13" s="15">
        <v>2180</v>
      </c>
      <c r="M13" s="14">
        <f t="shared" si="3"/>
        <v>0.20733944954128442</v>
      </c>
      <c r="N13" s="18" t="s">
        <v>90</v>
      </c>
    </row>
    <row r="14" spans="1:14">
      <c r="A14" s="12">
        <f>METAS!A14</f>
        <v>46266</v>
      </c>
      <c r="B14" s="13">
        <v>126000</v>
      </c>
      <c r="C14" s="13">
        <v>19800</v>
      </c>
      <c r="D14" s="14">
        <f t="shared" si="0"/>
        <v>0.15714285714285714</v>
      </c>
      <c r="E14" s="15">
        <v>476</v>
      </c>
      <c r="F14" s="16">
        <f t="shared" si="1"/>
        <v>264.70588235294116</v>
      </c>
      <c r="G14" s="15">
        <v>92</v>
      </c>
      <c r="H14" s="13">
        <v>5200</v>
      </c>
      <c r="I14" s="13">
        <v>130000</v>
      </c>
      <c r="J14" s="14">
        <f t="shared" si="2"/>
        <v>0.04</v>
      </c>
      <c r="K14" s="13">
        <v>77900</v>
      </c>
      <c r="L14" s="15">
        <v>2200</v>
      </c>
      <c r="M14" s="14">
        <f t="shared" si="3"/>
        <v>0.21636363636363637</v>
      </c>
      <c r="N14" s="18" t="s">
        <v>91</v>
      </c>
    </row>
    <row r="15" spans="1:14">
      <c r="A15" s="12">
        <f>METAS!A15</f>
        <v>46296</v>
      </c>
      <c r="B15" s="13">
        <v>125500</v>
      </c>
      <c r="C15" s="13">
        <v>19100</v>
      </c>
      <c r="D15" s="14">
        <f t="shared" si="0"/>
        <v>0.15219123505976095</v>
      </c>
      <c r="E15" s="15">
        <v>468</v>
      </c>
      <c r="F15" s="16">
        <f t="shared" si="1"/>
        <v>268.16239316239319</v>
      </c>
      <c r="G15" s="15">
        <v>88</v>
      </c>
      <c r="H15" s="13">
        <v>6100</v>
      </c>
      <c r="I15" s="13">
        <v>132000</v>
      </c>
      <c r="J15" s="14">
        <f t="shared" si="2"/>
        <v>4.6212121212121211E-2</v>
      </c>
      <c r="K15" s="13">
        <v>80200</v>
      </c>
      <c r="L15" s="15">
        <v>2210</v>
      </c>
      <c r="M15" s="14">
        <f t="shared" si="3"/>
        <v>0.21176470588235294</v>
      </c>
      <c r="N15" s="18" t="s">
        <v>91</v>
      </c>
    </row>
    <row r="16" spans="1:14">
      <c r="A16" s="12">
        <f>METAS!A16</f>
        <v>46327</v>
      </c>
      <c r="B16" s="13">
        <v>133000</v>
      </c>
      <c r="C16" s="13">
        <v>20700</v>
      </c>
      <c r="D16" s="14">
        <f t="shared" si="0"/>
        <v>0.15563909774436091</v>
      </c>
      <c r="E16" s="15">
        <v>489</v>
      </c>
      <c r="F16" s="16">
        <f t="shared" si="1"/>
        <v>271.98364008179959</v>
      </c>
      <c r="G16" s="15">
        <v>96</v>
      </c>
      <c r="H16" s="13">
        <v>5900</v>
      </c>
      <c r="I16" s="13">
        <v>136000</v>
      </c>
      <c r="J16" s="14">
        <f t="shared" si="2"/>
        <v>4.3382352941176469E-2</v>
      </c>
      <c r="K16" s="13">
        <v>81300</v>
      </c>
      <c r="L16" s="15">
        <v>2240</v>
      </c>
      <c r="M16" s="14">
        <f t="shared" si="3"/>
        <v>0.21830357142857143</v>
      </c>
      <c r="N16" s="18" t="s">
        <v>91</v>
      </c>
    </row>
    <row r="17" spans="1:14">
      <c r="A17" s="12">
        <f>METAS!A17</f>
        <v>46357</v>
      </c>
      <c r="B17" s="13">
        <v>140000</v>
      </c>
      <c r="C17" s="13">
        <v>22300</v>
      </c>
      <c r="D17" s="14">
        <f t="shared" si="0"/>
        <v>0.15928571428571428</v>
      </c>
      <c r="E17" s="15">
        <v>510</v>
      </c>
      <c r="F17" s="16">
        <f t="shared" si="1"/>
        <v>274.50980392156862</v>
      </c>
      <c r="G17" s="15">
        <v>104</v>
      </c>
      <c r="H17" s="13">
        <v>5800</v>
      </c>
      <c r="I17" s="13">
        <v>142000</v>
      </c>
      <c r="J17" s="14">
        <f t="shared" si="2"/>
        <v>4.0845070422535212E-2</v>
      </c>
      <c r="K17" s="13">
        <v>84600</v>
      </c>
      <c r="L17" s="15">
        <v>2260</v>
      </c>
      <c r="M17" s="14">
        <f t="shared" si="3"/>
        <v>0.22566371681415928</v>
      </c>
      <c r="N17" s="18" t="s">
        <v>91</v>
      </c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</sheetData>
  <mergeCells count="2">
    <mergeCell ref="A1:N2"/>
    <mergeCell ref="A3:N3"/>
  </mergeCells>
  <conditionalFormatting sqref="J6:J17">
    <cfRule type="expression" dxfId="6" priority="1">
      <formula>J6&gt;1</formula>
    </cfRule>
  </conditionalFormatting>
  <conditionalFormatting sqref="M6:M17">
    <cfRule type="expression" dxfId="5" priority="2">
      <formula>M6&gt;1</formula>
    </cfRule>
  </conditionalFormatting>
  <dataValidations count="6">
    <dataValidation type="decimal" sqref="B6:C17">
      <formula1>0</formula1>
    </dataValidation>
    <dataValidation type="decimal" sqref="H6:I17">
      <formula1>0</formula1>
    </dataValidation>
    <dataValidation type="decimal" sqref="K6:K17">
      <formula1>0</formula1>
    </dataValidation>
    <dataValidation sqref="E6:E17">
      <formula1>0</formula1>
    </dataValidation>
    <dataValidation sqref="G6:G17">
      <formula1>0</formula1>
    </dataValidation>
    <dataValidation sqref="L6:L17">
      <formula1>0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/>
  </sheetViews>
  <sheetFormatPr defaultRowHeight="14.25"/>
  <cols>
    <col min="1" max="1" width="14" customWidth="1"/>
    <col min="2" max="2" width="18" customWidth="1"/>
    <col min="3" max="3" width="20" customWidth="1"/>
    <col min="4" max="4" width="23" customWidth="1"/>
    <col min="5" max="5" width="18" customWidth="1"/>
    <col min="6" max="6" width="16" customWidth="1"/>
    <col min="7" max="7" width="32" customWidth="1"/>
  </cols>
  <sheetData>
    <row r="1" spans="1:7">
      <c r="A1" s="38" t="s">
        <v>117</v>
      </c>
      <c r="B1" s="38"/>
      <c r="C1" s="38"/>
      <c r="D1" s="38"/>
      <c r="E1" s="38"/>
      <c r="F1" s="38"/>
      <c r="G1" s="38"/>
    </row>
    <row r="2" spans="1:7">
      <c r="A2" s="38"/>
      <c r="B2" s="38"/>
      <c r="C2" s="38"/>
      <c r="D2" s="38"/>
      <c r="E2" s="38"/>
      <c r="F2" s="38"/>
      <c r="G2" s="38"/>
    </row>
    <row r="3" spans="1:7">
      <c r="A3" s="33" t="s">
        <v>118</v>
      </c>
      <c r="B3" s="33"/>
      <c r="C3" s="33"/>
      <c r="D3" s="33"/>
      <c r="E3" s="33"/>
      <c r="F3" s="33"/>
      <c r="G3" s="33"/>
    </row>
    <row r="4" spans="1:7">
      <c r="A4" s="1"/>
      <c r="B4" s="1"/>
      <c r="C4" s="1"/>
      <c r="D4" s="1"/>
      <c r="E4" s="1"/>
      <c r="F4" s="1"/>
      <c r="G4" s="1"/>
    </row>
    <row r="5" spans="1:7" ht="15">
      <c r="A5" s="7" t="s">
        <v>58</v>
      </c>
      <c r="B5" s="7" t="s">
        <v>119</v>
      </c>
      <c r="C5" s="7" t="s">
        <v>120</v>
      </c>
      <c r="D5" s="7" t="s">
        <v>121</v>
      </c>
      <c r="E5" s="7" t="s">
        <v>122</v>
      </c>
      <c r="F5" s="7" t="s">
        <v>123</v>
      </c>
      <c r="G5" s="7" t="s">
        <v>124</v>
      </c>
    </row>
    <row r="6" spans="1:7">
      <c r="A6" s="12">
        <f>METAS!A6</f>
        <v>46023</v>
      </c>
      <c r="B6" s="25" t="str">
        <f>IF(COUNTIF(METAS!B6:C6,"")+COUNTIF(METAS!E6:E6,"")+COUNTIF(METAS!G6:J6,"")=0,"OK","PREENCHER")</f>
        <v>OK</v>
      </c>
      <c r="C6" s="25" t="str">
        <f>IF(COUNTIF(REALIZADO!B6:C6,"")+COUNTIF(REALIZADO!E6:E6,"")+COUNTIF(REALIZADO!G6:I6,"")+COUNTIF(REALIZADO!K6:L6,"")=0,"OK","PREENCHER")</f>
        <v>OK</v>
      </c>
      <c r="D6" s="25" t="str">
        <f>IF(REALIZADO!H6&gt;REALIZADO!I6,"REVISAR","OK")</f>
        <v>OK</v>
      </c>
      <c r="E6" s="25" t="str">
        <f>IF(REALIZADO!M6&gt;1,"REVISAR","OK")</f>
        <v>OK</v>
      </c>
      <c r="F6" s="25" t="str">
        <f t="shared" ref="F6:F17" si="0">IF(OR(B6&lt;&gt;"OK",C6&lt;&gt;"OK",D6&lt;&gt;"OK",E6&lt;&gt;"OK"),"REVISAR","OK")</f>
        <v>OK</v>
      </c>
      <c r="G6" s="5" t="str">
        <f t="shared" ref="G6:G17" si="1">IF(F6="OK","Sem alerta básico","Conferir entradas da competência")</f>
        <v>Sem alerta básico</v>
      </c>
    </row>
    <row r="7" spans="1:7">
      <c r="A7" s="12">
        <f>METAS!A7</f>
        <v>46054</v>
      </c>
      <c r="B7" s="25" t="str">
        <f>IF(COUNTIF(METAS!B7:C7,"")+COUNTIF(METAS!E7:E7,"")+COUNTIF(METAS!G7:J7,"")=0,"OK","PREENCHER")</f>
        <v>OK</v>
      </c>
      <c r="C7" s="25" t="str">
        <f>IF(COUNTIF(REALIZADO!B7:C7,"")+COUNTIF(REALIZADO!E7:E7,"")+COUNTIF(REALIZADO!G7:I7,"")+COUNTIF(REALIZADO!K7:L7,"")=0,"OK","PREENCHER")</f>
        <v>OK</v>
      </c>
      <c r="D7" s="25" t="str">
        <f>IF(REALIZADO!H7&gt;REALIZADO!I7,"REVISAR","OK")</f>
        <v>OK</v>
      </c>
      <c r="E7" s="25" t="str">
        <f>IF(REALIZADO!M7&gt;1,"REVISAR","OK")</f>
        <v>OK</v>
      </c>
      <c r="F7" s="25" t="str">
        <f t="shared" si="0"/>
        <v>OK</v>
      </c>
      <c r="G7" s="5" t="str">
        <f t="shared" si="1"/>
        <v>Sem alerta básico</v>
      </c>
    </row>
    <row r="8" spans="1:7">
      <c r="A8" s="12">
        <f>METAS!A8</f>
        <v>46082</v>
      </c>
      <c r="B8" s="25" t="str">
        <f>IF(COUNTIF(METAS!B8:C8,"")+COUNTIF(METAS!E8:E8,"")+COUNTIF(METAS!G8:J8,"")=0,"OK","PREENCHER")</f>
        <v>OK</v>
      </c>
      <c r="C8" s="25" t="str">
        <f>IF(COUNTIF(REALIZADO!B8:C8,"")+COUNTIF(REALIZADO!E8:E8,"")+COUNTIF(REALIZADO!G8:I8,"")+COUNTIF(REALIZADO!K8:L8,"")=0,"OK","PREENCHER")</f>
        <v>OK</v>
      </c>
      <c r="D8" s="25" t="str">
        <f>IF(REALIZADO!H8&gt;REALIZADO!I8,"REVISAR","OK")</f>
        <v>OK</v>
      </c>
      <c r="E8" s="25" t="str">
        <f>IF(REALIZADO!M8&gt;1,"REVISAR","OK")</f>
        <v>OK</v>
      </c>
      <c r="F8" s="25" t="str">
        <f t="shared" si="0"/>
        <v>OK</v>
      </c>
      <c r="G8" s="5" t="str">
        <f t="shared" si="1"/>
        <v>Sem alerta básico</v>
      </c>
    </row>
    <row r="9" spans="1:7">
      <c r="A9" s="12">
        <f>METAS!A9</f>
        <v>46113</v>
      </c>
      <c r="B9" s="25" t="str">
        <f>IF(COUNTIF(METAS!B9:C9,"")+COUNTIF(METAS!E9:E9,"")+COUNTIF(METAS!G9:J9,"")=0,"OK","PREENCHER")</f>
        <v>OK</v>
      </c>
      <c r="C9" s="25" t="str">
        <f>IF(COUNTIF(REALIZADO!B9:C9,"")+COUNTIF(REALIZADO!E9:E9,"")+COUNTIF(REALIZADO!G9:I9,"")+COUNTIF(REALIZADO!K9:L9,"")=0,"OK","PREENCHER")</f>
        <v>OK</v>
      </c>
      <c r="D9" s="25" t="str">
        <f>IF(REALIZADO!H9&gt;REALIZADO!I9,"REVISAR","OK")</f>
        <v>OK</v>
      </c>
      <c r="E9" s="25" t="str">
        <f>IF(REALIZADO!M9&gt;1,"REVISAR","OK")</f>
        <v>OK</v>
      </c>
      <c r="F9" s="25" t="str">
        <f t="shared" si="0"/>
        <v>OK</v>
      </c>
      <c r="G9" s="5" t="str">
        <f t="shared" si="1"/>
        <v>Sem alerta básico</v>
      </c>
    </row>
    <row r="10" spans="1:7">
      <c r="A10" s="12">
        <f>METAS!A10</f>
        <v>46143</v>
      </c>
      <c r="B10" s="25" t="str">
        <f>IF(COUNTIF(METAS!B10:C10,"")+COUNTIF(METAS!E10:E10,"")+COUNTIF(METAS!G10:J10,"")=0,"OK","PREENCHER")</f>
        <v>OK</v>
      </c>
      <c r="C10" s="25" t="str">
        <f>IF(COUNTIF(REALIZADO!B10:C10,"")+COUNTIF(REALIZADO!E10:E10,"")+COUNTIF(REALIZADO!G10:I10,"")+COUNTIF(REALIZADO!K10:L10,"")=0,"OK","PREENCHER")</f>
        <v>OK</v>
      </c>
      <c r="D10" s="25" t="str">
        <f>IF(REALIZADO!H10&gt;REALIZADO!I10,"REVISAR","OK")</f>
        <v>OK</v>
      </c>
      <c r="E10" s="25" t="str">
        <f>IF(REALIZADO!M10&gt;1,"REVISAR","OK")</f>
        <v>OK</v>
      </c>
      <c r="F10" s="25" t="str">
        <f t="shared" si="0"/>
        <v>OK</v>
      </c>
      <c r="G10" s="5" t="str">
        <f t="shared" si="1"/>
        <v>Sem alerta básico</v>
      </c>
    </row>
    <row r="11" spans="1:7">
      <c r="A11" s="12">
        <f>METAS!A11</f>
        <v>46174</v>
      </c>
      <c r="B11" s="25" t="str">
        <f>IF(COUNTIF(METAS!B11:C11,"")+COUNTIF(METAS!E11:E11,"")+COUNTIF(METAS!G11:J11,"")=0,"OK","PREENCHER")</f>
        <v>OK</v>
      </c>
      <c r="C11" s="25" t="str">
        <f>IF(COUNTIF(REALIZADO!B11:C11,"")+COUNTIF(REALIZADO!E11:E11,"")+COUNTIF(REALIZADO!G11:I11,"")+COUNTIF(REALIZADO!K11:L11,"")=0,"OK","PREENCHER")</f>
        <v>OK</v>
      </c>
      <c r="D11" s="25" t="str">
        <f>IF(REALIZADO!H11&gt;REALIZADO!I11,"REVISAR","OK")</f>
        <v>OK</v>
      </c>
      <c r="E11" s="25" t="str">
        <f>IF(REALIZADO!M11&gt;1,"REVISAR","OK")</f>
        <v>OK</v>
      </c>
      <c r="F11" s="25" t="str">
        <f t="shared" si="0"/>
        <v>OK</v>
      </c>
      <c r="G11" s="5" t="str">
        <f t="shared" si="1"/>
        <v>Sem alerta básico</v>
      </c>
    </row>
    <row r="12" spans="1:7">
      <c r="A12" s="12">
        <f>METAS!A12</f>
        <v>46204</v>
      </c>
      <c r="B12" s="25" t="str">
        <f>IF(COUNTIF(METAS!B12:C12,"")+COUNTIF(METAS!E12:E12,"")+COUNTIF(METAS!G12:J12,"")=0,"OK","PREENCHER")</f>
        <v>OK</v>
      </c>
      <c r="C12" s="25" t="str">
        <f>IF(COUNTIF(REALIZADO!B12:C12,"")+COUNTIF(REALIZADO!E12:E12,"")+COUNTIF(REALIZADO!G12:I12,"")+COUNTIF(REALIZADO!K12:L12,"")=0,"OK","PREENCHER")</f>
        <v>OK</v>
      </c>
      <c r="D12" s="25" t="str">
        <f>IF(REALIZADO!H12&gt;REALIZADO!I12,"REVISAR","OK")</f>
        <v>OK</v>
      </c>
      <c r="E12" s="25" t="str">
        <f>IF(REALIZADO!M12&gt;1,"REVISAR","OK")</f>
        <v>OK</v>
      </c>
      <c r="F12" s="25" t="str">
        <f t="shared" si="0"/>
        <v>OK</v>
      </c>
      <c r="G12" s="5" t="str">
        <f t="shared" si="1"/>
        <v>Sem alerta básico</v>
      </c>
    </row>
    <row r="13" spans="1:7">
      <c r="A13" s="12">
        <f>METAS!A13</f>
        <v>46235</v>
      </c>
      <c r="B13" s="25" t="str">
        <f>IF(COUNTIF(METAS!B13:C13,"")+COUNTIF(METAS!E13:E13,"")+COUNTIF(METAS!G13:J13,"")=0,"OK","PREENCHER")</f>
        <v>OK</v>
      </c>
      <c r="C13" s="25" t="str">
        <f>IF(COUNTIF(REALIZADO!B13:C13,"")+COUNTIF(REALIZADO!E13:E13,"")+COUNTIF(REALIZADO!G13:I13,"")+COUNTIF(REALIZADO!K13:L13,"")=0,"OK","PREENCHER")</f>
        <v>OK</v>
      </c>
      <c r="D13" s="25" t="str">
        <f>IF(REALIZADO!H13&gt;REALIZADO!I13,"REVISAR","OK")</f>
        <v>OK</v>
      </c>
      <c r="E13" s="25" t="str">
        <f>IF(REALIZADO!M13&gt;1,"REVISAR","OK")</f>
        <v>OK</v>
      </c>
      <c r="F13" s="25" t="str">
        <f t="shared" si="0"/>
        <v>OK</v>
      </c>
      <c r="G13" s="5" t="str">
        <f t="shared" si="1"/>
        <v>Sem alerta básico</v>
      </c>
    </row>
    <row r="14" spans="1:7">
      <c r="A14" s="12">
        <f>METAS!A14</f>
        <v>46266</v>
      </c>
      <c r="B14" s="25" t="str">
        <f>IF(COUNTIF(METAS!B14:C14,"")+COUNTIF(METAS!E14:E14,"")+COUNTIF(METAS!G14:J14,"")=0,"OK","PREENCHER")</f>
        <v>OK</v>
      </c>
      <c r="C14" s="25" t="str">
        <f>IF(COUNTIF(REALIZADO!B14:C14,"")+COUNTIF(REALIZADO!E14:E14,"")+COUNTIF(REALIZADO!G14:I14,"")+COUNTIF(REALIZADO!K14:L14,"")=0,"OK","PREENCHER")</f>
        <v>OK</v>
      </c>
      <c r="D14" s="25" t="str">
        <f>IF(REALIZADO!H14&gt;REALIZADO!I14,"REVISAR","OK")</f>
        <v>OK</v>
      </c>
      <c r="E14" s="25" t="str">
        <f>IF(REALIZADO!M14&gt;1,"REVISAR","OK")</f>
        <v>OK</v>
      </c>
      <c r="F14" s="25" t="str">
        <f t="shared" si="0"/>
        <v>OK</v>
      </c>
      <c r="G14" s="5" t="str">
        <f t="shared" si="1"/>
        <v>Sem alerta básico</v>
      </c>
    </row>
    <row r="15" spans="1:7">
      <c r="A15" s="12">
        <f>METAS!A15</f>
        <v>46296</v>
      </c>
      <c r="B15" s="25" t="str">
        <f>IF(COUNTIF(METAS!B15:C15,"")+COUNTIF(METAS!E15:E15,"")+COUNTIF(METAS!G15:J15,"")=0,"OK","PREENCHER")</f>
        <v>OK</v>
      </c>
      <c r="C15" s="25" t="str">
        <f>IF(COUNTIF(REALIZADO!B15:C15,"")+COUNTIF(REALIZADO!E15:E15,"")+COUNTIF(REALIZADO!G15:I15,"")+COUNTIF(REALIZADO!K15:L15,"")=0,"OK","PREENCHER")</f>
        <v>OK</v>
      </c>
      <c r="D15" s="25" t="str">
        <f>IF(REALIZADO!H15&gt;REALIZADO!I15,"REVISAR","OK")</f>
        <v>OK</v>
      </c>
      <c r="E15" s="25" t="str">
        <f>IF(REALIZADO!M15&gt;1,"REVISAR","OK")</f>
        <v>OK</v>
      </c>
      <c r="F15" s="25" t="str">
        <f t="shared" si="0"/>
        <v>OK</v>
      </c>
      <c r="G15" s="5" t="str">
        <f t="shared" si="1"/>
        <v>Sem alerta básico</v>
      </c>
    </row>
    <row r="16" spans="1:7">
      <c r="A16" s="12">
        <f>METAS!A16</f>
        <v>46327</v>
      </c>
      <c r="B16" s="25" t="str">
        <f>IF(COUNTIF(METAS!B16:C16,"")+COUNTIF(METAS!E16:E16,"")+COUNTIF(METAS!G16:J16,"")=0,"OK","PREENCHER")</f>
        <v>OK</v>
      </c>
      <c r="C16" s="25" t="str">
        <f>IF(COUNTIF(REALIZADO!B16:C16,"")+COUNTIF(REALIZADO!E16:E16,"")+COUNTIF(REALIZADO!G16:I16,"")+COUNTIF(REALIZADO!K16:L16,"")=0,"OK","PREENCHER")</f>
        <v>OK</v>
      </c>
      <c r="D16" s="25" t="str">
        <f>IF(REALIZADO!H16&gt;REALIZADO!I16,"REVISAR","OK")</f>
        <v>OK</v>
      </c>
      <c r="E16" s="25" t="str">
        <f>IF(REALIZADO!M16&gt;1,"REVISAR","OK")</f>
        <v>OK</v>
      </c>
      <c r="F16" s="25" t="str">
        <f t="shared" si="0"/>
        <v>OK</v>
      </c>
      <c r="G16" s="5" t="str">
        <f t="shared" si="1"/>
        <v>Sem alerta básico</v>
      </c>
    </row>
    <row r="17" spans="1:7">
      <c r="A17" s="12">
        <f>METAS!A17</f>
        <v>46357</v>
      </c>
      <c r="B17" s="25" t="str">
        <f>IF(COUNTIF(METAS!B17:C17,"")+COUNTIF(METAS!E17:E17,"")+COUNTIF(METAS!G17:J17,"")=0,"OK","PREENCHER")</f>
        <v>OK</v>
      </c>
      <c r="C17" s="25" t="str">
        <f>IF(COUNTIF(REALIZADO!B17:C17,"")+COUNTIF(REALIZADO!E17:E17,"")+COUNTIF(REALIZADO!G17:I17,"")+COUNTIF(REALIZADO!K17:L17,"")=0,"OK","PREENCHER")</f>
        <v>OK</v>
      </c>
      <c r="D17" s="25" t="str">
        <f>IF(REALIZADO!H17&gt;REALIZADO!I17,"REVISAR","OK")</f>
        <v>OK</v>
      </c>
      <c r="E17" s="25" t="str">
        <f>IF(REALIZADO!M17&gt;1,"REVISAR","OK")</f>
        <v>OK</v>
      </c>
      <c r="F17" s="25" t="str">
        <f t="shared" si="0"/>
        <v>OK</v>
      </c>
      <c r="G17" s="5" t="str">
        <f t="shared" si="1"/>
        <v>Sem alerta básico</v>
      </c>
    </row>
    <row r="18" spans="1:7">
      <c r="A18" s="1"/>
      <c r="B18" s="1"/>
      <c r="C18" s="1"/>
      <c r="D18" s="1"/>
      <c r="E18" s="1"/>
      <c r="F18" s="1"/>
      <c r="G18" s="1"/>
    </row>
    <row r="19" spans="1:7">
      <c r="A19" s="1"/>
      <c r="B19" s="1"/>
      <c r="C19" s="1"/>
      <c r="D19" s="1"/>
      <c r="E19" s="1"/>
      <c r="F19" s="1"/>
      <c r="G19" s="1"/>
    </row>
    <row r="20" spans="1:7" ht="15">
      <c r="A20" s="7" t="s">
        <v>125</v>
      </c>
      <c r="B20" s="7" t="s">
        <v>126</v>
      </c>
      <c r="C20" s="1"/>
      <c r="D20" s="1"/>
      <c r="E20" s="1"/>
      <c r="F20" s="1"/>
      <c r="G20" s="1"/>
    </row>
    <row r="21" spans="1:7" ht="15">
      <c r="A21" s="2" t="s">
        <v>127</v>
      </c>
      <c r="B21" s="29">
        <f>COUNTIF(F6:F17,"REVISAR")</f>
        <v>0</v>
      </c>
      <c r="C21" s="1"/>
      <c r="D21" s="1"/>
      <c r="E21" s="1"/>
      <c r="F21" s="1"/>
      <c r="G21" s="1"/>
    </row>
    <row r="22" spans="1:7" ht="15">
      <c r="A22" s="2" t="s">
        <v>128</v>
      </c>
      <c r="B22" s="1" t="s">
        <v>129</v>
      </c>
      <c r="C22" s="1"/>
      <c r="D22" s="1"/>
      <c r="E22" s="1"/>
      <c r="F22" s="1"/>
      <c r="G22" s="1"/>
    </row>
    <row r="23" spans="1:7" ht="15">
      <c r="A23" s="2" t="s">
        <v>130</v>
      </c>
      <c r="B23" s="1" t="s">
        <v>131</v>
      </c>
      <c r="C23" s="1"/>
      <c r="D23" s="1"/>
      <c r="E23" s="1"/>
      <c r="F23" s="1"/>
      <c r="G23" s="1"/>
    </row>
    <row r="24" spans="1:7" ht="15">
      <c r="A24" s="2" t="s">
        <v>132</v>
      </c>
      <c r="B24" s="1" t="s">
        <v>133</v>
      </c>
      <c r="C24" s="1"/>
      <c r="D24" s="1"/>
      <c r="E24" s="1"/>
      <c r="F24" s="1"/>
      <c r="G24" s="1"/>
    </row>
  </sheetData>
  <mergeCells count="2">
    <mergeCell ref="A1:G2"/>
    <mergeCell ref="A3:G3"/>
  </mergeCells>
  <conditionalFormatting sqref="B6:F17">
    <cfRule type="expression" dxfId="1" priority="1">
      <formula>B6="OK"</formula>
    </cfRule>
    <cfRule type="expression" dxfId="0" priority="2">
      <formula>B6&lt;&gt;"OK"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DASHBOARD</vt:lpstr>
      <vt:lpstr>INICIO</vt:lpstr>
      <vt:lpstr>METAS</vt:lpstr>
      <vt:lpstr>REALIZADO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Jeferson</dc:creator>
  <cp:lastModifiedBy>José Jeferson</cp:lastModifiedBy>
  <dcterms:created xsi:type="dcterms:W3CDTF">2026-08-11T21:22:16Z</dcterms:created>
  <dcterms:modified xsi:type="dcterms:W3CDTF">2026-08-11T21:22:16Z</dcterms:modified>
</cp:coreProperties>
</file>